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1\Desktop\"/>
    </mc:Choice>
  </mc:AlternateContent>
  <xr:revisionPtr revIDLastSave="0" documentId="13_ncr:1_{1CF623E4-BA47-448C-9E24-7845FD9A1468}" xr6:coauthVersionLast="47" xr6:coauthVersionMax="47" xr10:uidLastSave="{00000000-0000-0000-0000-000000000000}"/>
  <bookViews>
    <workbookView xWindow="-108" yWindow="-108" windowWidth="23256" windowHeight="12576" xr2:uid="{DC293BDE-53F8-4937-B54F-EFD5F5A016AD}"/>
  </bookViews>
  <sheets>
    <sheet name="CRITERIO 1" sheetId="1" r:id="rId1"/>
    <sheet name="Ejemplo C1" sheetId="3" r:id="rId2"/>
    <sheet name="CRITERIO 2" sheetId="6" r:id="rId3"/>
    <sheet name="Ejemplo C2" sheetId="4" r:id="rId4"/>
    <sheet name="No tocar" sheetId="2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8" i="4" l="1"/>
  <c r="B38" i="6"/>
  <c r="B34" i="4"/>
  <c r="B32" i="4"/>
  <c r="B31" i="4"/>
  <c r="B30" i="4"/>
  <c r="B34" i="6"/>
  <c r="B32" i="6"/>
  <c r="B31" i="6"/>
  <c r="B30" i="6"/>
  <c r="I14" i="4"/>
  <c r="I14" i="6"/>
  <c r="I13" i="6"/>
  <c r="E26" i="6"/>
  <c r="F24" i="6"/>
  <c r="D24" i="6"/>
  <c r="D23" i="6"/>
  <c r="D22" i="6"/>
  <c r="F21" i="6"/>
  <c r="D21" i="6"/>
  <c r="D20" i="6"/>
  <c r="D19" i="6"/>
  <c r="M18" i="6"/>
  <c r="F18" i="6"/>
  <c r="D18" i="6"/>
  <c r="M17" i="6"/>
  <c r="D17" i="6"/>
  <c r="M16" i="6"/>
  <c r="D16" i="6"/>
  <c r="M15" i="6"/>
  <c r="D15" i="6"/>
  <c r="M14" i="6"/>
  <c r="D14" i="6"/>
  <c r="M13" i="6"/>
  <c r="D13" i="6"/>
  <c r="D12" i="6"/>
  <c r="D11" i="6"/>
  <c r="D10" i="6"/>
  <c r="F9" i="6"/>
  <c r="D9" i="6"/>
  <c r="D8" i="6"/>
  <c r="D7" i="6"/>
  <c r="E4" i="6"/>
  <c r="M18" i="4"/>
  <c r="M17" i="4"/>
  <c r="M16" i="4"/>
  <c r="M15" i="4"/>
  <c r="M14" i="4"/>
  <c r="M13" i="4"/>
  <c r="F24" i="4"/>
  <c r="F21" i="4"/>
  <c r="F18" i="4"/>
  <c r="F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9" i="4"/>
  <c r="D8" i="4"/>
  <c r="D7" i="4"/>
  <c r="E26" i="4"/>
  <c r="E4" i="4"/>
  <c r="B24" i="3"/>
  <c r="B23" i="3"/>
  <c r="B17" i="3"/>
  <c r="D9" i="3"/>
  <c r="D8" i="3"/>
  <c r="D7" i="3"/>
  <c r="E4" i="3"/>
  <c r="B25" i="1"/>
  <c r="B24" i="1"/>
  <c r="D9" i="1"/>
  <c r="D8" i="1"/>
  <c r="D7" i="1"/>
  <c r="K18" i="6" l="1"/>
  <c r="B26" i="1"/>
  <c r="K16" i="6"/>
  <c r="B39" i="6"/>
  <c r="B40" i="6"/>
  <c r="F22" i="6"/>
  <c r="F23" i="6" s="1"/>
  <c r="I18" i="6" s="1"/>
  <c r="F19" i="6"/>
  <c r="F20" i="6" s="1"/>
  <c r="I17" i="6" s="1"/>
  <c r="K17" i="6"/>
  <c r="F16" i="6"/>
  <c r="F17" i="6" s="1"/>
  <c r="I16" i="6" s="1"/>
  <c r="F13" i="6"/>
  <c r="F14" i="6" s="1"/>
  <c r="F10" i="6"/>
  <c r="F11" i="6" s="1"/>
  <c r="F7" i="6"/>
  <c r="B39" i="4"/>
  <c r="K18" i="4"/>
  <c r="K17" i="4"/>
  <c r="K16" i="4"/>
  <c r="F22" i="4"/>
  <c r="F19" i="4"/>
  <c r="F16" i="4"/>
  <c r="F13" i="4"/>
  <c r="F7" i="4"/>
  <c r="B40" i="4"/>
  <c r="F10" i="4"/>
  <c r="B15" i="3"/>
  <c r="B25" i="3"/>
  <c r="B15" i="1"/>
  <c r="B23" i="1"/>
  <c r="B17" i="1"/>
  <c r="E4" i="1"/>
  <c r="B16" i="1" s="1"/>
  <c r="F8" i="6" l="1"/>
  <c r="F8" i="4"/>
  <c r="F23" i="4"/>
  <c r="I18" i="4" s="1"/>
  <c r="F20" i="4"/>
  <c r="I17" i="4" s="1"/>
  <c r="F17" i="4"/>
  <c r="I16" i="4" s="1"/>
  <c r="F14" i="4"/>
  <c r="F11" i="4"/>
  <c r="B19" i="1"/>
  <c r="A17" i="2"/>
  <c r="B17" i="2" s="1"/>
  <c r="A18" i="2"/>
  <c r="B16" i="3"/>
  <c r="C18" i="2" l="1"/>
  <c r="K13" i="6"/>
  <c r="F12" i="6" s="1"/>
  <c r="I13" i="4"/>
  <c r="K13" i="4"/>
  <c r="F12" i="4" s="1"/>
  <c r="G18" i="2"/>
  <c r="G17" i="2"/>
  <c r="C17" i="2"/>
  <c r="D17" i="2" s="1"/>
  <c r="E17" i="2" s="1"/>
  <c r="B18" i="1" s="1"/>
  <c r="B19" i="3"/>
  <c r="B26" i="3" s="1"/>
  <c r="B28" i="3" s="1"/>
  <c r="B28" i="1"/>
  <c r="K14" i="6" l="1"/>
  <c r="F15" i="6" s="1"/>
  <c r="K14" i="4"/>
  <c r="F15" i="4" s="1"/>
  <c r="H17" i="2"/>
  <c r="I17" i="2" s="1"/>
  <c r="J17" i="2" s="1"/>
  <c r="K17" i="2" s="1"/>
  <c r="B18" i="3" s="1"/>
  <c r="I18" i="2"/>
  <c r="B37" i="1"/>
  <c r="B30" i="1"/>
  <c r="B29" i="1"/>
  <c r="B30" i="3"/>
  <c r="B29" i="3"/>
  <c r="B37" i="3" s="1"/>
  <c r="I15" i="6" l="1"/>
  <c r="B41" i="6" s="1"/>
  <c r="B43" i="6" s="1"/>
  <c r="K15" i="6"/>
  <c r="I15" i="4"/>
  <c r="B41" i="4" s="1"/>
  <c r="K15" i="4"/>
  <c r="B44" i="6" l="1"/>
  <c r="B52" i="6" s="1"/>
  <c r="B45" i="6"/>
  <c r="B43" i="4"/>
  <c r="B45" i="4" l="1"/>
  <c r="B44" i="4"/>
  <c r="B52" i="4" s="1"/>
</calcChain>
</file>

<file path=xl/sharedStrings.xml><?xml version="1.0" encoding="utf-8"?>
<sst xmlns="http://schemas.openxmlformats.org/spreadsheetml/2006/main" count="294" uniqueCount="93">
  <si>
    <t>Año 1</t>
  </si>
  <si>
    <t>Año 2</t>
  </si>
  <si>
    <t>Año 3</t>
  </si>
  <si>
    <t>Porcentaje de jornada</t>
  </si>
  <si>
    <t>Número de días de contrato</t>
  </si>
  <si>
    <t>Horas de formación mínima requerida</t>
  </si>
  <si>
    <t>GRUPO de convenio</t>
  </si>
  <si>
    <t>GRUPOS</t>
  </si>
  <si>
    <t>Grupo I</t>
  </si>
  <si>
    <t>Grupo II</t>
  </si>
  <si>
    <t>Grupo III</t>
  </si>
  <si>
    <t>Grrupo IV</t>
  </si>
  <si>
    <t>Año final del trienio</t>
  </si>
  <si>
    <t>AÑO</t>
  </si>
  <si>
    <t>CPP</t>
  </si>
  <si>
    <t>Coeficiente</t>
  </si>
  <si>
    <t>CRUPO</t>
  </si>
  <si>
    <t>Horas de formación recibidas</t>
  </si>
  <si>
    <t>Horas recibidas</t>
  </si>
  <si>
    <t>Porcentaje de plus con derecho</t>
  </si>
  <si>
    <t>Importe CPP máximo según su jornada</t>
  </si>
  <si>
    <t>Corrección por formación recibida</t>
  </si>
  <si>
    <t>Importe CPP con derecho adquirido</t>
  </si>
  <si>
    <t>Prorrateo en 12 pagas</t>
  </si>
  <si>
    <t>Prorrateo en 14 pagas</t>
  </si>
  <si>
    <t>Horas/Trienio</t>
  </si>
  <si>
    <t>Horas acumulables para el siguiente</t>
  </si>
  <si>
    <t>Cálculo de proporcionalidad</t>
  </si>
  <si>
    <t>Introducir el Grupo de convenio al que pertenece el/la trabajador/a</t>
  </si>
  <si>
    <t>Grupo I (Personal docente) Grupo II (Administración) Grupo III (Servicios) Grupo IV (Titulados no docentes)</t>
  </si>
  <si>
    <t>2.</t>
  </si>
  <si>
    <t>1.</t>
  </si>
  <si>
    <t>Asignar porcentaje de jornada medio durante cada año del período de cálculo</t>
  </si>
  <si>
    <t>3.</t>
  </si>
  <si>
    <t>Asignar el número de días de alta durante cada año (incluidos días de vacaciones y vacaciones no disfrutadas)</t>
  </si>
  <si>
    <t>4.</t>
  </si>
  <si>
    <t>Asignar el número de horas de formación autorizadas por la empresa y realizadas efectivamente</t>
  </si>
  <si>
    <t>5.</t>
  </si>
  <si>
    <t>Seleccionar  el año en el que termina el período de cálculo del trienio que se devenga</t>
  </si>
  <si>
    <t>Total de horas de formación realizadas en el período de cálculo</t>
  </si>
  <si>
    <t>Si exceden las horas realizadas al mínimo requerido, se puede acumular para el siguiente período hasta el 50% de las horas mínimas requeridas</t>
  </si>
  <si>
    <t>Solo es diferente si no ha realizado la formación mínima requerida</t>
  </si>
  <si>
    <t>Este sería el importe anual si la formación requerida ha sido realizada</t>
  </si>
  <si>
    <t>Importe base de cálculo del plus anual para una jornada completa a tiempo completo en el año final del trienio</t>
  </si>
  <si>
    <t>Importe final anual a pagar al trabajador/a</t>
  </si>
  <si>
    <t>Porcentaje de la formación realizada</t>
  </si>
  <si>
    <t>Prorrateo mensual del plus devengado si cobra en 12 pagas</t>
  </si>
  <si>
    <t>Prorrateo mensual del plus devengado si cobra en 14 pagas</t>
  </si>
  <si>
    <t>Importe mensual acumulado anterior</t>
  </si>
  <si>
    <t>Importe que en su caso ya aparezca en nómina por CPP, que ya esté consolidado de trienios anteriores</t>
  </si>
  <si>
    <t>Número de pagas que recibe</t>
  </si>
  <si>
    <t>Nuevo importe en nómina CPP</t>
  </si>
  <si>
    <t>Nuevo importe en nómina en concepto de CPP</t>
  </si>
  <si>
    <t>¡¡¡ESCRIBIR SOLO EN CASILLAS VERDES!!!!</t>
  </si>
  <si>
    <t>Mínimo horas de formación</t>
  </si>
  <si>
    <t>Coeficiente corrector de horas formativas</t>
  </si>
  <si>
    <t>Porcentaje medio de jornada en trienio</t>
  </si>
  <si>
    <t>Indica el porcentaje de tiempo trabajado respecto a la jornada completa a tiempo completo durante el trienio</t>
  </si>
  <si>
    <t>Horas mínimas de formación requerida en el trienio para tener derecho a devengarlo (ajustado a su jornada)</t>
  </si>
  <si>
    <t>Importe anual CPP s/convenio</t>
  </si>
  <si>
    <t>Media ponderada de parcialidad de jornada de trabajo para el cómputo del plus</t>
  </si>
  <si>
    <t>Cálculos Horas de formación</t>
  </si>
  <si>
    <t>Cálculos Importe del Plus</t>
  </si>
  <si>
    <t>Cálculos para la nómina</t>
  </si>
  <si>
    <t>Ano 4</t>
  </si>
  <si>
    <t>Año 5</t>
  </si>
  <si>
    <t>Año 6</t>
  </si>
  <si>
    <t>Año 7</t>
  </si>
  <si>
    <t>Año 8</t>
  </si>
  <si>
    <t>Año 9</t>
  </si>
  <si>
    <t>Año 10</t>
  </si>
  <si>
    <t>Año 11</t>
  </si>
  <si>
    <t>Año 12</t>
  </si>
  <si>
    <t>Año 13</t>
  </si>
  <si>
    <t>Año 14</t>
  </si>
  <si>
    <t>Año 15</t>
  </si>
  <si>
    <t>Año 16</t>
  </si>
  <si>
    <t>Año 17</t>
  </si>
  <si>
    <t>Año 18</t>
  </si>
  <si>
    <t>Nº Trienios</t>
  </si>
  <si>
    <t>Trienio 1</t>
  </si>
  <si>
    <t>Trienio 2</t>
  </si>
  <si>
    <t>Trienio 3</t>
  </si>
  <si>
    <t>Trienio 4</t>
  </si>
  <si>
    <t>Trienio 5</t>
  </si>
  <si>
    <t>Trienio 6</t>
  </si>
  <si>
    <t>% plus consolidado</t>
  </si>
  <si>
    <t>Horas acumulables</t>
  </si>
  <si>
    <t>% Jornada</t>
  </si>
  <si>
    <t>Porcentaje medio de jornada</t>
  </si>
  <si>
    <t>Importe acumulado CPP s/convenio</t>
  </si>
  <si>
    <t>Cálculo del Complemento de Desarrollo y Perfeccionamiento Profesional (CDPP) - Criterio Cantidades Consolidadas</t>
  </si>
  <si>
    <t>Cálculo del Complemento de Desarrollo y Perfeccionamiento Profesional (CDPP) - Criterio Actualización Continua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</si>
</sst>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"/>
    <numFmt numFmtId="165" formatCode="0.0"/>
    <numFmt numFmtId="166" formatCode="0.0%"/>
    <numFmt numFmtId="167" formatCode="_-* #,##0_-;\-* #,##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2" borderId="1" xfId="0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0" fillId="2" borderId="8" xfId="0" applyNumberFormat="1" applyFill="1" applyBorder="1"/>
    <xf numFmtId="164" fontId="0" fillId="2" borderId="2" xfId="0" applyNumberFormat="1" applyFill="1" applyBorder="1"/>
    <xf numFmtId="164" fontId="0" fillId="2" borderId="6" xfId="0" applyNumberFormat="1" applyFill="1" applyBorder="1"/>
    <xf numFmtId="165" fontId="0" fillId="2" borderId="15" xfId="0" applyNumberFormat="1" applyFill="1" applyBorder="1"/>
    <xf numFmtId="166" fontId="0" fillId="2" borderId="1" xfId="2" applyNumberFormat="1" applyFont="1" applyFill="1" applyBorder="1"/>
    <xf numFmtId="44" fontId="0" fillId="2" borderId="13" xfId="1" applyFont="1" applyFill="1" applyBorder="1"/>
    <xf numFmtId="44" fontId="0" fillId="2" borderId="14" xfId="1" applyFont="1" applyFill="1" applyBorder="1"/>
    <xf numFmtId="44" fontId="0" fillId="2" borderId="15" xfId="1" applyFont="1" applyFill="1" applyBorder="1"/>
    <xf numFmtId="0" fontId="2" fillId="0" borderId="19" xfId="0" applyFont="1" applyBorder="1"/>
    <xf numFmtId="0" fontId="2" fillId="0" borderId="20" xfId="0" applyFont="1" applyBorder="1"/>
    <xf numFmtId="0" fontId="2" fillId="0" borderId="22" xfId="0" applyFont="1" applyBorder="1"/>
    <xf numFmtId="0" fontId="2" fillId="0" borderId="1" xfId="0" applyFont="1" applyBorder="1" applyAlignment="1">
      <alignment horizontal="center" vertical="center" wrapText="1"/>
    </xf>
    <xf numFmtId="165" fontId="0" fillId="2" borderId="1" xfId="0" applyNumberFormat="1" applyFill="1" applyBorder="1"/>
    <xf numFmtId="0" fontId="0" fillId="0" borderId="0" xfId="0" applyAlignment="1">
      <alignment horizontal="right"/>
    </xf>
    <xf numFmtId="166" fontId="0" fillId="2" borderId="13" xfId="2" applyNumberFormat="1" applyFont="1" applyFill="1" applyBorder="1"/>
    <xf numFmtId="44" fontId="3" fillId="4" borderId="1" xfId="0" applyNumberFormat="1" applyFont="1" applyFill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44" fontId="2" fillId="2" borderId="13" xfId="0" applyNumberFormat="1" applyFont="1" applyFill="1" applyBorder="1"/>
    <xf numFmtId="0" fontId="7" fillId="0" borderId="0" xfId="0" applyFont="1"/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166" fontId="0" fillId="2" borderId="23" xfId="2" applyNumberFormat="1" applyFont="1" applyFill="1" applyBorder="1"/>
    <xf numFmtId="44" fontId="0" fillId="5" borderId="14" xfId="1" applyFont="1" applyFill="1" applyBorder="1"/>
    <xf numFmtId="44" fontId="0" fillId="5" borderId="15" xfId="1" applyFont="1" applyFill="1" applyBorder="1"/>
    <xf numFmtId="165" fontId="2" fillId="2" borderId="14" xfId="0" applyNumberFormat="1" applyFont="1" applyFill="1" applyBorder="1"/>
    <xf numFmtId="0" fontId="0" fillId="3" borderId="1" xfId="0" applyFill="1" applyBorder="1" applyProtection="1">
      <protection locked="0"/>
    </xf>
    <xf numFmtId="166" fontId="0" fillId="3" borderId="21" xfId="0" applyNumberFormat="1" applyFill="1" applyBorder="1" applyProtection="1">
      <protection locked="0"/>
    </xf>
    <xf numFmtId="166" fontId="0" fillId="3" borderId="3" xfId="0" applyNumberFormat="1" applyFill="1" applyBorder="1" applyProtection="1">
      <protection locked="0"/>
    </xf>
    <xf numFmtId="166" fontId="0" fillId="3" borderId="5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6" xfId="0" applyFill="1" applyBorder="1" applyProtection="1">
      <protection locked="0"/>
    </xf>
    <xf numFmtId="165" fontId="0" fillId="3" borderId="9" xfId="0" applyNumberFormat="1" applyFill="1" applyBorder="1" applyProtection="1">
      <protection locked="0"/>
    </xf>
    <xf numFmtId="165" fontId="0" fillId="3" borderId="4" xfId="0" applyNumberFormat="1" applyFill="1" applyBorder="1" applyProtection="1">
      <protection locked="0"/>
    </xf>
    <xf numFmtId="165" fontId="0" fillId="3" borderId="7" xfId="0" applyNumberFormat="1" applyFill="1" applyBorder="1" applyProtection="1">
      <protection locked="0"/>
    </xf>
    <xf numFmtId="44" fontId="0" fillId="3" borderId="13" xfId="1" applyFont="1" applyFill="1" applyBorder="1" applyProtection="1">
      <protection locked="0"/>
    </xf>
    <xf numFmtId="167" fontId="0" fillId="3" borderId="15" xfId="3" applyNumberFormat="1" applyFont="1" applyFill="1" applyBorder="1" applyProtection="1">
      <protection locked="0"/>
    </xf>
    <xf numFmtId="1" fontId="2" fillId="2" borderId="1" xfId="0" applyNumberFormat="1" applyFont="1" applyFill="1" applyBorder="1"/>
    <xf numFmtId="0" fontId="0" fillId="7" borderId="0" xfId="0" applyFill="1" applyAlignment="1">
      <alignment horizontal="center"/>
    </xf>
    <xf numFmtId="0" fontId="6" fillId="7" borderId="16" xfId="0" applyFont="1" applyFill="1" applyBorder="1" applyAlignment="1">
      <alignment horizontal="center" wrapText="1"/>
    </xf>
    <xf numFmtId="0" fontId="6" fillId="7" borderId="17" xfId="0" applyFont="1" applyFill="1" applyBorder="1" applyAlignment="1">
      <alignment horizontal="center" wrapText="1"/>
    </xf>
    <xf numFmtId="0" fontId="6" fillId="7" borderId="18" xfId="0" applyFont="1" applyFill="1" applyBorder="1" applyAlignment="1">
      <alignment horizontal="center" wrapText="1"/>
    </xf>
    <xf numFmtId="0" fontId="2" fillId="6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/>
    </xf>
    <xf numFmtId="166" fontId="0" fillId="0" borderId="0" xfId="2" applyNumberFormat="1" applyFont="1"/>
    <xf numFmtId="165" fontId="0" fillId="0" borderId="0" xfId="0" applyNumberFormat="1"/>
    <xf numFmtId="0" fontId="0" fillId="0" borderId="2" xfId="0" applyBorder="1"/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right"/>
    </xf>
    <xf numFmtId="166" fontId="0" fillId="2" borderId="2" xfId="2" applyNumberFormat="1" applyFon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7" fontId="0" fillId="3" borderId="1" xfId="3" applyNumberFormat="1" applyFont="1" applyFill="1" applyBorder="1" applyProtection="1">
      <protection locked="0"/>
    </xf>
  </cellXfs>
  <cellStyles count="4">
    <cellStyle name="Millares" xfId="3" builtinId="3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759191</xdr:colOff>
      <xdr:row>0</xdr:row>
      <xdr:rowOff>0</xdr:rowOff>
    </xdr:from>
    <xdr:to>
      <xdr:col>14</xdr:col>
      <xdr:colOff>547436</xdr:colOff>
      <xdr:row>2</xdr:row>
      <xdr:rowOff>182880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FE4161-4158-4196-F044-BA3E6431D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4771" y="0"/>
          <a:ext cx="2165685" cy="9601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759191</xdr:colOff>
      <xdr:row>0</xdr:row>
      <xdr:rowOff>0</xdr:rowOff>
    </xdr:from>
    <xdr:to>
      <xdr:col>14</xdr:col>
      <xdr:colOff>547436</xdr:colOff>
      <xdr:row>2</xdr:row>
      <xdr:rowOff>182880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FC891F-B6C4-4327-8346-2692C721F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4771" y="0"/>
          <a:ext cx="2165685" cy="9601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759191</xdr:colOff>
      <xdr:row>0</xdr:row>
      <xdr:rowOff>0</xdr:rowOff>
    </xdr:from>
    <xdr:to>
      <xdr:col>14</xdr:col>
      <xdr:colOff>547436</xdr:colOff>
      <xdr:row>2</xdr:row>
      <xdr:rowOff>182880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179C52-F21B-4B07-8638-BA6A18432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4771" y="0"/>
          <a:ext cx="2165685" cy="9601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759191</xdr:colOff>
      <xdr:row>0</xdr:row>
      <xdr:rowOff>0</xdr:rowOff>
    </xdr:from>
    <xdr:to>
      <xdr:col>14</xdr:col>
      <xdr:colOff>547436</xdr:colOff>
      <xdr:row>2</xdr:row>
      <xdr:rowOff>182880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2C71D1-411A-4BE5-9EF2-762B5F7CA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4771" y="0"/>
          <a:ext cx="2165685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F6920-317F-4B3F-9CBE-01E35387FDE1}">
  <dimension ref="A1:O39"/>
  <sheetViews>
    <sheetView showGridLines="0" tabSelected="1" workbookViewId="0">
      <selection activeCell="B15" sqref="B15"/>
    </sheetView>
  </sheetViews>
  <sheetFormatPr baseColWidth="10" defaultRowHeight="14.4" x14ac:dyDescent="0.3"/>
  <cols>
    <col min="1" max="1" width="35.44140625" customWidth="1"/>
    <col min="6" max="6" width="11.5546875" style="20"/>
  </cols>
  <sheetData>
    <row r="1" spans="1:15" ht="15" thickBot="1" x14ac:dyDescent="0.35"/>
    <row r="2" spans="1:15" ht="46.2" customHeight="1" thickBot="1" x14ac:dyDescent="0.45">
      <c r="A2" s="50" t="s">
        <v>91</v>
      </c>
      <c r="B2" s="51"/>
      <c r="C2" s="51"/>
      <c r="D2" s="51"/>
      <c r="E2" s="52"/>
      <c r="G2" s="27" t="s">
        <v>53</v>
      </c>
    </row>
    <row r="3" spans="1:15" ht="15" thickBot="1" x14ac:dyDescent="0.35">
      <c r="B3" s="31" t="s">
        <v>16</v>
      </c>
      <c r="E3" s="31" t="s">
        <v>25</v>
      </c>
    </row>
    <row r="4" spans="1:15" ht="15" thickBot="1" x14ac:dyDescent="0.35">
      <c r="A4" s="23" t="s">
        <v>6</v>
      </c>
      <c r="B4" s="36"/>
      <c r="D4" s="23" t="s">
        <v>54</v>
      </c>
      <c r="E4" s="3" t="str">
        <f>+IF(B4&lt;&gt;"",_xlfn.XLOOKUP(B4,'No tocar'!A3:A6,'No tocar'!B3:B6,"",0,1),"")</f>
        <v/>
      </c>
      <c r="F4" s="23" t="s">
        <v>31</v>
      </c>
      <c r="G4" s="25" t="s">
        <v>28</v>
      </c>
    </row>
    <row r="5" spans="1:15" ht="15" thickBot="1" x14ac:dyDescent="0.35">
      <c r="F5" s="23"/>
      <c r="G5" s="25" t="s">
        <v>29</v>
      </c>
    </row>
    <row r="6" spans="1:15" s="1" customFormat="1" ht="43.8" thickBot="1" x14ac:dyDescent="0.35">
      <c r="A6" s="18" t="s">
        <v>27</v>
      </c>
      <c r="B6" s="4" t="s">
        <v>3</v>
      </c>
      <c r="C6" s="5" t="s">
        <v>4</v>
      </c>
      <c r="D6" s="5" t="s">
        <v>15</v>
      </c>
      <c r="E6" s="6" t="s">
        <v>17</v>
      </c>
      <c r="F6" s="24"/>
      <c r="G6" s="26"/>
    </row>
    <row r="7" spans="1:15" x14ac:dyDescent="0.3">
      <c r="A7" s="17" t="s">
        <v>0</v>
      </c>
      <c r="B7" s="37"/>
      <c r="C7" s="40"/>
      <c r="D7" s="7">
        <f>+B7*C7/(365)</f>
        <v>0</v>
      </c>
      <c r="E7" s="43"/>
      <c r="F7" s="23" t="s">
        <v>30</v>
      </c>
      <c r="G7" s="25" t="s">
        <v>32</v>
      </c>
    </row>
    <row r="8" spans="1:15" x14ac:dyDescent="0.3">
      <c r="A8" s="15" t="s">
        <v>1</v>
      </c>
      <c r="B8" s="38"/>
      <c r="C8" s="41"/>
      <c r="D8" s="8">
        <f>+B8*C8/(365)</f>
        <v>0</v>
      </c>
      <c r="E8" s="44"/>
      <c r="F8" s="23" t="s">
        <v>33</v>
      </c>
      <c r="G8" s="25" t="s">
        <v>34</v>
      </c>
    </row>
    <row r="9" spans="1:15" ht="15" thickBot="1" x14ac:dyDescent="0.35">
      <c r="A9" s="16" t="s">
        <v>2</v>
      </c>
      <c r="B9" s="39"/>
      <c r="C9" s="42"/>
      <c r="D9" s="9">
        <f>+B9*C9/(365)</f>
        <v>0</v>
      </c>
      <c r="E9" s="45"/>
      <c r="F9" s="23" t="s">
        <v>35</v>
      </c>
      <c r="G9" s="25" t="s">
        <v>36</v>
      </c>
    </row>
    <row r="10" spans="1:15" ht="15" thickBot="1" x14ac:dyDescent="0.35">
      <c r="F10" s="23"/>
      <c r="G10" s="25"/>
    </row>
    <row r="11" spans="1:15" ht="15" thickBot="1" x14ac:dyDescent="0.35">
      <c r="A11" s="30" t="s">
        <v>12</v>
      </c>
      <c r="B11" s="36"/>
      <c r="F11" s="23" t="s">
        <v>37</v>
      </c>
      <c r="G11" s="25" t="s">
        <v>38</v>
      </c>
    </row>
    <row r="12" spans="1:15" x14ac:dyDescent="0.3">
      <c r="A12" s="2"/>
    </row>
    <row r="13" spans="1:15" x14ac:dyDescent="0.3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</row>
    <row r="14" spans="1:15" ht="15" thickBot="1" x14ac:dyDescent="0.35">
      <c r="A14" s="2"/>
    </row>
    <row r="15" spans="1:15" x14ac:dyDescent="0.3">
      <c r="A15" s="2" t="s">
        <v>55</v>
      </c>
      <c r="B15" s="21">
        <f>AVERAGE(D7:D9)</f>
        <v>0</v>
      </c>
      <c r="C15" s="29" t="s">
        <v>57</v>
      </c>
      <c r="M15" s="53" t="s">
        <v>61</v>
      </c>
    </row>
    <row r="16" spans="1:15" x14ac:dyDescent="0.3">
      <c r="A16" s="30" t="s">
        <v>5</v>
      </c>
      <c r="B16" s="35" t="str">
        <f>IF(E4="","",B15*E4)</f>
        <v/>
      </c>
      <c r="C16" s="29" t="s">
        <v>58</v>
      </c>
      <c r="M16" s="53"/>
    </row>
    <row r="17" spans="1:15" ht="15" thickBot="1" x14ac:dyDescent="0.35">
      <c r="A17" s="2" t="s">
        <v>18</v>
      </c>
      <c r="B17" s="10">
        <f>+E7+E8+E9</f>
        <v>0</v>
      </c>
      <c r="C17" s="29" t="s">
        <v>39</v>
      </c>
      <c r="M17" s="53"/>
    </row>
    <row r="18" spans="1:15" ht="15" thickBot="1" x14ac:dyDescent="0.35">
      <c r="A18" s="2" t="s">
        <v>26</v>
      </c>
      <c r="B18" s="19" t="str">
        <f>IF('No tocar'!E17=0,"",'No tocar'!E17)</f>
        <v/>
      </c>
      <c r="C18" s="29" t="s">
        <v>40</v>
      </c>
      <c r="M18" s="53"/>
    </row>
    <row r="19" spans="1:15" ht="15" thickBot="1" x14ac:dyDescent="0.35">
      <c r="A19" s="2" t="s">
        <v>19</v>
      </c>
      <c r="B19" s="11" t="str">
        <f>IF(B16="","",IF(B17&gt;B16,1,B17/B16))</f>
        <v/>
      </c>
      <c r="C19" s="29" t="s">
        <v>45</v>
      </c>
      <c r="M19" s="53"/>
    </row>
    <row r="20" spans="1:15" x14ac:dyDescent="0.3">
      <c r="A20" s="2"/>
      <c r="C20" s="29"/>
    </row>
    <row r="21" spans="1:15" x14ac:dyDescent="0.3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</row>
    <row r="22" spans="1:15" ht="15" thickBot="1" x14ac:dyDescent="0.35">
      <c r="A22" s="2"/>
      <c r="C22" s="29"/>
    </row>
    <row r="23" spans="1:15" x14ac:dyDescent="0.3">
      <c r="A23" s="2" t="s">
        <v>59</v>
      </c>
      <c r="B23" s="12" t="str">
        <f>+_xlfn.XLOOKUP(B11,'No tocar'!A9:A14,'No tocar'!B9:B14,"",0,1)</f>
        <v/>
      </c>
      <c r="C23" s="29" t="s">
        <v>43</v>
      </c>
      <c r="M23" s="53" t="s">
        <v>62</v>
      </c>
    </row>
    <row r="24" spans="1:15" x14ac:dyDescent="0.3">
      <c r="A24" s="2" t="s">
        <v>56</v>
      </c>
      <c r="B24" s="32" t="str">
        <f>IF((C7+C8+C9)=0,"",(B7*C7+B8*C8+B9*C9)/(C7+C8+C9))</f>
        <v/>
      </c>
      <c r="C24" s="29" t="s">
        <v>60</v>
      </c>
      <c r="M24" s="53"/>
    </row>
    <row r="25" spans="1:15" x14ac:dyDescent="0.3">
      <c r="A25" s="30" t="s">
        <v>20</v>
      </c>
      <c r="B25" s="13" t="str">
        <f>IF(B23="","",B23*B24)</f>
        <v/>
      </c>
      <c r="C25" s="29" t="s">
        <v>42</v>
      </c>
      <c r="M25" s="53"/>
    </row>
    <row r="26" spans="1:15" ht="15" thickBot="1" x14ac:dyDescent="0.35">
      <c r="A26" s="2" t="s">
        <v>21</v>
      </c>
      <c r="B26" s="14" t="str">
        <f>IF(B25="","",B25*B19)</f>
        <v/>
      </c>
      <c r="C26" s="29" t="s">
        <v>41</v>
      </c>
      <c r="M26" s="53"/>
    </row>
    <row r="27" spans="1:15" ht="15" thickBot="1" x14ac:dyDescent="0.35">
      <c r="A27" s="2"/>
      <c r="C27" s="29"/>
      <c r="M27" s="53"/>
    </row>
    <row r="28" spans="1:15" x14ac:dyDescent="0.3">
      <c r="A28" s="2" t="s">
        <v>22</v>
      </c>
      <c r="B28" s="28" t="str">
        <f>+B26</f>
        <v/>
      </c>
      <c r="C28" s="29" t="s">
        <v>44</v>
      </c>
      <c r="M28" s="53"/>
    </row>
    <row r="29" spans="1:15" x14ac:dyDescent="0.3">
      <c r="A29" s="2" t="s">
        <v>23</v>
      </c>
      <c r="B29" s="33" t="str">
        <f>IF(B28="","",B28/12)</f>
        <v/>
      </c>
      <c r="C29" s="29" t="s">
        <v>46</v>
      </c>
      <c r="M29" s="53"/>
    </row>
    <row r="30" spans="1:15" ht="15" thickBot="1" x14ac:dyDescent="0.35">
      <c r="A30" s="2" t="s">
        <v>24</v>
      </c>
      <c r="B30" s="34" t="str">
        <f>IF(B28="","",B28/14)</f>
        <v/>
      </c>
      <c r="C30" s="29" t="s">
        <v>47</v>
      </c>
      <c r="M30" s="53"/>
    </row>
    <row r="31" spans="1:15" x14ac:dyDescent="0.3">
      <c r="A31" s="2"/>
      <c r="C31" s="29"/>
    </row>
    <row r="32" spans="1:15" x14ac:dyDescent="0.3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</row>
    <row r="33" spans="1:15" ht="15" thickBot="1" x14ac:dyDescent="0.35">
      <c r="A33" s="2"/>
      <c r="C33" s="29"/>
    </row>
    <row r="34" spans="1:15" x14ac:dyDescent="0.3">
      <c r="A34" s="2" t="s">
        <v>48</v>
      </c>
      <c r="B34" s="46">
        <v>0</v>
      </c>
      <c r="C34" s="29" t="s">
        <v>49</v>
      </c>
      <c r="M34" s="53" t="s">
        <v>63</v>
      </c>
    </row>
    <row r="35" spans="1:15" ht="15" thickBot="1" x14ac:dyDescent="0.35">
      <c r="A35" s="2" t="s">
        <v>50</v>
      </c>
      <c r="B35" s="47"/>
      <c r="C35" s="29"/>
      <c r="M35" s="53"/>
    </row>
    <row r="36" spans="1:15" ht="15" thickBot="1" x14ac:dyDescent="0.35">
      <c r="A36" s="2"/>
      <c r="C36" s="29"/>
      <c r="M36" s="53"/>
    </row>
    <row r="37" spans="1:15" ht="15" thickBot="1" x14ac:dyDescent="0.35">
      <c r="A37" s="2" t="s">
        <v>51</v>
      </c>
      <c r="B37" s="22" t="str">
        <f>+IF(B35=12,B34+B29,IF(B35=14,B30+B34,""))</f>
        <v/>
      </c>
      <c r="C37" s="29" t="s">
        <v>52</v>
      </c>
      <c r="M37" s="53"/>
    </row>
    <row r="39" spans="1:15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</row>
  </sheetData>
  <sheetProtection sheet="1" objects="1" scenarios="1"/>
  <mergeCells count="8">
    <mergeCell ref="A39:O39"/>
    <mergeCell ref="A2:E2"/>
    <mergeCell ref="M15:M19"/>
    <mergeCell ref="M23:M30"/>
    <mergeCell ref="M34:M37"/>
    <mergeCell ref="A13:O13"/>
    <mergeCell ref="A21:O21"/>
    <mergeCell ref="A32:O3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41FD061-8F86-49EC-BBC3-FD413C8240F4}">
          <x14:formula1>
            <xm:f>'No tocar'!$A$3:$A$6</xm:f>
          </x14:formula1>
          <xm:sqref>B4</xm:sqref>
        </x14:dataValidation>
        <x14:dataValidation type="list" allowBlank="1" showInputMessage="1" showErrorMessage="1" xr:uid="{DA081DFA-A3D0-4273-9BBE-7803F751C20D}">
          <x14:formula1>
            <xm:f>'No tocar'!$A$9:$A$14</xm:f>
          </x14:formula1>
          <xm:sqref>B11</xm:sqref>
        </x14:dataValidation>
        <x14:dataValidation type="list" allowBlank="1" showInputMessage="1" showErrorMessage="1" xr:uid="{7617E48F-C508-4629-BBB7-A641428AD4D3}">
          <x14:formula1>
            <xm:f>'No tocar'!$D$3:$D$4</xm:f>
          </x14:formula1>
          <xm:sqref>B35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AC97A-CDAD-45B6-A93D-402B923B1C11}">
  <dimension ref="A1:O39"/>
  <sheetViews>
    <sheetView showGridLines="0" workbookViewId="0">
      <selection activeCell="B7" sqref="B7"/>
    </sheetView>
  </sheetViews>
  <sheetFormatPr baseColWidth="10" defaultRowHeight="14.4" x14ac:dyDescent="0.3"/>
  <cols>
    <col min="1" max="1" width="35.44140625" customWidth="1"/>
    <col min="6" max="6" width="11.5546875" style="20"/>
  </cols>
  <sheetData>
    <row r="1" spans="1:15" ht="15" thickBot="1" x14ac:dyDescent="0.35"/>
    <row r="2" spans="1:15" ht="46.2" customHeight="1" thickBot="1" x14ac:dyDescent="0.45">
      <c r="A2" s="50" t="s">
        <v>91</v>
      </c>
      <c r="B2" s="51"/>
      <c r="C2" s="51"/>
      <c r="D2" s="51"/>
      <c r="E2" s="52"/>
      <c r="G2" s="27" t="s">
        <v>53</v>
      </c>
    </row>
    <row r="3" spans="1:15" ht="15" thickBot="1" x14ac:dyDescent="0.35">
      <c r="B3" s="31" t="s">
        <v>16</v>
      </c>
      <c r="E3" s="31" t="s">
        <v>25</v>
      </c>
    </row>
    <row r="4" spans="1:15" ht="15" thickBot="1" x14ac:dyDescent="0.35">
      <c r="A4" s="23" t="s">
        <v>6</v>
      </c>
      <c r="B4" s="36" t="s">
        <v>8</v>
      </c>
      <c r="D4" s="23" t="s">
        <v>54</v>
      </c>
      <c r="E4" s="3">
        <f>+IF(B4&lt;&gt;"",_xlfn.XLOOKUP(B4,'No tocar'!A3:A6,'No tocar'!B3:B6,"",0,1),"")</f>
        <v>30</v>
      </c>
      <c r="F4" s="23" t="s">
        <v>31</v>
      </c>
      <c r="G4" s="25" t="s">
        <v>28</v>
      </c>
    </row>
    <row r="5" spans="1:15" ht="15" thickBot="1" x14ac:dyDescent="0.35">
      <c r="F5" s="23"/>
      <c r="G5" s="25" t="s">
        <v>29</v>
      </c>
    </row>
    <row r="6" spans="1:15" s="1" customFormat="1" ht="43.8" thickBot="1" x14ac:dyDescent="0.35">
      <c r="A6" s="18" t="s">
        <v>27</v>
      </c>
      <c r="B6" s="4" t="s">
        <v>3</v>
      </c>
      <c r="C6" s="5" t="s">
        <v>4</v>
      </c>
      <c r="D6" s="5" t="s">
        <v>15</v>
      </c>
      <c r="E6" s="6" t="s">
        <v>17</v>
      </c>
      <c r="F6" s="24"/>
      <c r="G6" s="26"/>
    </row>
    <row r="7" spans="1:15" x14ac:dyDescent="0.3">
      <c r="A7" s="17" t="s">
        <v>0</v>
      </c>
      <c r="B7" s="37">
        <v>1</v>
      </c>
      <c r="C7" s="40">
        <v>272</v>
      </c>
      <c r="D7" s="7">
        <f>+B7*C7/(365)</f>
        <v>0.74520547945205484</v>
      </c>
      <c r="E7" s="43">
        <v>8</v>
      </c>
      <c r="F7" s="23" t="s">
        <v>30</v>
      </c>
      <c r="G7" s="25" t="s">
        <v>32</v>
      </c>
    </row>
    <row r="8" spans="1:15" x14ac:dyDescent="0.3">
      <c r="A8" s="15" t="s">
        <v>1</v>
      </c>
      <c r="B8" s="38">
        <v>1</v>
      </c>
      <c r="C8" s="41">
        <v>273</v>
      </c>
      <c r="D8" s="8">
        <f>+B8*C8/(365)</f>
        <v>0.74794520547945209</v>
      </c>
      <c r="E8" s="44">
        <v>8</v>
      </c>
      <c r="F8" s="23" t="s">
        <v>33</v>
      </c>
      <c r="G8" s="25" t="s">
        <v>34</v>
      </c>
    </row>
    <row r="9" spans="1:15" ht="15" thickBot="1" x14ac:dyDescent="0.35">
      <c r="A9" s="16" t="s">
        <v>2</v>
      </c>
      <c r="B9" s="39">
        <v>1</v>
      </c>
      <c r="C9" s="42">
        <v>275</v>
      </c>
      <c r="D9" s="9">
        <f>+B9*C9/(365)</f>
        <v>0.75342465753424659</v>
      </c>
      <c r="E9" s="45">
        <v>8</v>
      </c>
      <c r="F9" s="23" t="s">
        <v>35</v>
      </c>
      <c r="G9" s="25" t="s">
        <v>36</v>
      </c>
    </row>
    <row r="10" spans="1:15" ht="15" thickBot="1" x14ac:dyDescent="0.35">
      <c r="F10" s="23"/>
      <c r="G10" s="25"/>
    </row>
    <row r="11" spans="1:15" ht="15" thickBot="1" x14ac:dyDescent="0.35">
      <c r="A11" s="30" t="s">
        <v>12</v>
      </c>
      <c r="B11" s="36">
        <v>2026</v>
      </c>
      <c r="F11" s="23" t="s">
        <v>37</v>
      </c>
      <c r="G11" s="25" t="s">
        <v>38</v>
      </c>
    </row>
    <row r="12" spans="1:15" x14ac:dyDescent="0.3">
      <c r="A12" s="2"/>
    </row>
    <row r="13" spans="1:15" x14ac:dyDescent="0.3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</row>
    <row r="14" spans="1:15" ht="15" thickBot="1" x14ac:dyDescent="0.35">
      <c r="A14" s="2"/>
    </row>
    <row r="15" spans="1:15" x14ac:dyDescent="0.3">
      <c r="A15" s="2" t="s">
        <v>55</v>
      </c>
      <c r="B15" s="21">
        <f>AVERAGE(D7:D9)</f>
        <v>0.74885844748858454</v>
      </c>
      <c r="C15" s="29" t="s">
        <v>57</v>
      </c>
      <c r="M15" s="53" t="s">
        <v>61</v>
      </c>
    </row>
    <row r="16" spans="1:15" x14ac:dyDescent="0.3">
      <c r="A16" s="30" t="s">
        <v>5</v>
      </c>
      <c r="B16" s="35">
        <f>IF(E4="","",B15*E4)</f>
        <v>22.465753424657535</v>
      </c>
      <c r="C16" s="29" t="s">
        <v>58</v>
      </c>
      <c r="M16" s="53"/>
    </row>
    <row r="17" spans="1:15" ht="15" thickBot="1" x14ac:dyDescent="0.35">
      <c r="A17" s="2" t="s">
        <v>18</v>
      </c>
      <c r="B17" s="10">
        <f>+E7+E8+E9</f>
        <v>24</v>
      </c>
      <c r="C17" s="29" t="s">
        <v>39</v>
      </c>
      <c r="M17" s="53"/>
    </row>
    <row r="18" spans="1:15" ht="15" thickBot="1" x14ac:dyDescent="0.35">
      <c r="A18" s="2" t="s">
        <v>26</v>
      </c>
      <c r="B18" s="19">
        <f>IF('No tocar'!K17=0,"",'No tocar'!K17)</f>
        <v>1.5342465753424648</v>
      </c>
      <c r="C18" s="29" t="s">
        <v>40</v>
      </c>
      <c r="M18" s="53"/>
    </row>
    <row r="19" spans="1:15" ht="15" thickBot="1" x14ac:dyDescent="0.35">
      <c r="A19" s="2" t="s">
        <v>19</v>
      </c>
      <c r="B19" s="11">
        <f>IF(B16="","",IF(B17&gt;B16,1,B17/B16))</f>
        <v>1</v>
      </c>
      <c r="C19" s="29" t="s">
        <v>45</v>
      </c>
      <c r="M19" s="53"/>
    </row>
    <row r="20" spans="1:15" x14ac:dyDescent="0.3">
      <c r="A20" s="2"/>
      <c r="C20" s="29"/>
    </row>
    <row r="21" spans="1:15" x14ac:dyDescent="0.3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</row>
    <row r="22" spans="1:15" ht="15" thickBot="1" x14ac:dyDescent="0.35">
      <c r="A22" s="2"/>
      <c r="C22" s="29"/>
    </row>
    <row r="23" spans="1:15" x14ac:dyDescent="0.3">
      <c r="A23" s="2" t="s">
        <v>59</v>
      </c>
      <c r="B23" s="12">
        <f>+_xlfn.XLOOKUP(B11,'No tocar'!A9:A14,'No tocar'!B9:B14,"",0,1)</f>
        <v>496.64</v>
      </c>
      <c r="C23" s="29" t="s">
        <v>43</v>
      </c>
      <c r="M23" s="53" t="s">
        <v>62</v>
      </c>
    </row>
    <row r="24" spans="1:15" x14ac:dyDescent="0.3">
      <c r="A24" s="2" t="s">
        <v>56</v>
      </c>
      <c r="B24" s="32">
        <f>IF((C7+C8+C9)=0,"",(B7*C7+B8*C8+B9*C9)/(C7+C8+C9))</f>
        <v>1</v>
      </c>
      <c r="C24" s="29" t="s">
        <v>60</v>
      </c>
      <c r="M24" s="53"/>
    </row>
    <row r="25" spans="1:15" x14ac:dyDescent="0.3">
      <c r="A25" s="30" t="s">
        <v>20</v>
      </c>
      <c r="B25" s="13">
        <f>IF(B23="","",B23*B24)</f>
        <v>496.64</v>
      </c>
      <c r="C25" s="29" t="s">
        <v>42</v>
      </c>
      <c r="M25" s="53"/>
    </row>
    <row r="26" spans="1:15" ht="15" thickBot="1" x14ac:dyDescent="0.35">
      <c r="A26" s="2" t="s">
        <v>21</v>
      </c>
      <c r="B26" s="14">
        <f>IF(B25="","",B25*B19)</f>
        <v>496.64</v>
      </c>
      <c r="C26" s="29" t="s">
        <v>41</v>
      </c>
      <c r="M26" s="53"/>
    </row>
    <row r="27" spans="1:15" ht="15" thickBot="1" x14ac:dyDescent="0.35">
      <c r="A27" s="2"/>
      <c r="C27" s="29"/>
      <c r="M27" s="53"/>
    </row>
    <row r="28" spans="1:15" x14ac:dyDescent="0.3">
      <c r="A28" s="2" t="s">
        <v>22</v>
      </c>
      <c r="B28" s="28">
        <f>+B26</f>
        <v>496.64</v>
      </c>
      <c r="C28" s="29" t="s">
        <v>44</v>
      </c>
      <c r="M28" s="53"/>
    </row>
    <row r="29" spans="1:15" x14ac:dyDescent="0.3">
      <c r="A29" s="2" t="s">
        <v>23</v>
      </c>
      <c r="B29" s="33">
        <f>IF(B28="","",B28/12)</f>
        <v>41.386666666666663</v>
      </c>
      <c r="C29" s="29" t="s">
        <v>46</v>
      </c>
      <c r="M29" s="53"/>
    </row>
    <row r="30" spans="1:15" ht="15" thickBot="1" x14ac:dyDescent="0.35">
      <c r="A30" s="2" t="s">
        <v>24</v>
      </c>
      <c r="B30" s="34">
        <f>IF(B28="","",B28/14)</f>
        <v>35.474285714285713</v>
      </c>
      <c r="C30" s="29" t="s">
        <v>47</v>
      </c>
      <c r="M30" s="53"/>
    </row>
    <row r="31" spans="1:15" x14ac:dyDescent="0.3">
      <c r="A31" s="2"/>
      <c r="C31" s="29"/>
    </row>
    <row r="32" spans="1:15" x14ac:dyDescent="0.3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</row>
    <row r="33" spans="1:15" ht="15" thickBot="1" x14ac:dyDescent="0.35">
      <c r="A33" s="2"/>
      <c r="C33" s="29"/>
    </row>
    <row r="34" spans="1:15" x14ac:dyDescent="0.3">
      <c r="A34" s="2" t="s">
        <v>48</v>
      </c>
      <c r="B34" s="46">
        <v>71.959999999999994</v>
      </c>
      <c r="C34" s="29" t="s">
        <v>49</v>
      </c>
      <c r="M34" s="53" t="s">
        <v>63</v>
      </c>
    </row>
    <row r="35" spans="1:15" ht="15" thickBot="1" x14ac:dyDescent="0.35">
      <c r="A35" s="2" t="s">
        <v>50</v>
      </c>
      <c r="B35" s="47">
        <v>12</v>
      </c>
      <c r="C35" s="29"/>
      <c r="M35" s="53"/>
    </row>
    <row r="36" spans="1:15" ht="15" thickBot="1" x14ac:dyDescent="0.35">
      <c r="A36" s="2"/>
      <c r="C36" s="29"/>
      <c r="M36" s="53"/>
    </row>
    <row r="37" spans="1:15" ht="15" thickBot="1" x14ac:dyDescent="0.35">
      <c r="A37" s="2" t="s">
        <v>51</v>
      </c>
      <c r="B37" s="22">
        <f>+IF(B35=12,B34+B29,IF(B35=14,B30+B34,""))</f>
        <v>113.34666666666666</v>
      </c>
      <c r="C37" s="29" t="s">
        <v>52</v>
      </c>
      <c r="M37" s="53"/>
    </row>
    <row r="39" spans="1:15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</row>
  </sheetData>
  <sheetProtection sheet="1" objects="1" scenarios="1"/>
  <mergeCells count="8">
    <mergeCell ref="M34:M37"/>
    <mergeCell ref="A39:O39"/>
    <mergeCell ref="A2:E2"/>
    <mergeCell ref="A13:O13"/>
    <mergeCell ref="M15:M19"/>
    <mergeCell ref="A21:O21"/>
    <mergeCell ref="M23:M30"/>
    <mergeCell ref="A32:O3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32D703C-4334-4D34-9886-2C50F5DC21C2}">
          <x14:formula1>
            <xm:f>'No tocar'!$D$3:$D$4</xm:f>
          </x14:formula1>
          <xm:sqref>B35</xm:sqref>
        </x14:dataValidation>
        <x14:dataValidation type="list" allowBlank="1" showInputMessage="1" showErrorMessage="1" xr:uid="{4749DFCC-04DC-4E1F-817B-647C5699779A}">
          <x14:formula1>
            <xm:f>'No tocar'!$A$9:$A$14</xm:f>
          </x14:formula1>
          <xm:sqref>B11</xm:sqref>
        </x14:dataValidation>
        <x14:dataValidation type="list" allowBlank="1" showInputMessage="1" showErrorMessage="1" xr:uid="{56E74E4F-0DC9-429D-900B-B24C47EA8CC4}">
          <x14:formula1>
            <xm:f>'No tocar'!$A$3:$A$6</xm:f>
          </x14:formula1>
          <xm:sqref>B4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5C8EE-0BC3-4D1D-8478-2C1964C045C0}">
  <dimension ref="A1:O54"/>
  <sheetViews>
    <sheetView showGridLines="0" workbookViewId="0">
      <selection activeCell="E16" sqref="E16"/>
    </sheetView>
  </sheetViews>
  <sheetFormatPr baseColWidth="10" defaultRowHeight="14.4" x14ac:dyDescent="0.3"/>
  <cols>
    <col min="1" max="1" width="35.44140625" customWidth="1"/>
    <col min="6" max="6" width="11.5546875" style="20"/>
  </cols>
  <sheetData>
    <row r="1" spans="1:14" ht="15" thickBot="1" x14ac:dyDescent="0.35"/>
    <row r="2" spans="1:14" ht="46.2" customHeight="1" thickBot="1" x14ac:dyDescent="0.45">
      <c r="A2" s="50" t="s">
        <v>92</v>
      </c>
      <c r="B2" s="51"/>
      <c r="C2" s="51"/>
      <c r="D2" s="51"/>
      <c r="E2" s="52"/>
      <c r="G2" s="27" t="s">
        <v>53</v>
      </c>
    </row>
    <row r="3" spans="1:14" ht="15" thickBot="1" x14ac:dyDescent="0.35">
      <c r="B3" s="31" t="s">
        <v>16</v>
      </c>
      <c r="E3" s="31" t="s">
        <v>25</v>
      </c>
    </row>
    <row r="4" spans="1:14" ht="15" thickBot="1" x14ac:dyDescent="0.35">
      <c r="A4" s="23" t="s">
        <v>6</v>
      </c>
      <c r="B4" s="36"/>
      <c r="D4" s="23" t="s">
        <v>54</v>
      </c>
      <c r="E4" s="3" t="str">
        <f>+IF(B4&lt;&gt;"",_xlfn.XLOOKUP(B4,'No tocar'!A3:A6,'No tocar'!B3:B6,"",0,1),"")</f>
        <v/>
      </c>
      <c r="F4" s="23" t="s">
        <v>31</v>
      </c>
      <c r="G4" s="25" t="s">
        <v>28</v>
      </c>
    </row>
    <row r="5" spans="1:14" ht="15" thickBot="1" x14ac:dyDescent="0.35">
      <c r="F5" s="23"/>
      <c r="G5" s="25" t="s">
        <v>29</v>
      </c>
    </row>
    <row r="6" spans="1:14" s="1" customFormat="1" ht="43.8" thickBot="1" x14ac:dyDescent="0.35">
      <c r="A6" s="18" t="s">
        <v>27</v>
      </c>
      <c r="B6" s="4" t="s">
        <v>3</v>
      </c>
      <c r="C6" s="5" t="s">
        <v>4</v>
      </c>
      <c r="D6" s="5" t="s">
        <v>15</v>
      </c>
      <c r="E6" s="6" t="s">
        <v>17</v>
      </c>
      <c r="F6" s="24"/>
      <c r="G6" s="26"/>
    </row>
    <row r="7" spans="1:14" x14ac:dyDescent="0.3">
      <c r="A7" s="17" t="s">
        <v>0</v>
      </c>
      <c r="B7" s="37"/>
      <c r="C7" s="40"/>
      <c r="D7" s="7" t="str">
        <f>IF(B7="","",B7*C7/(365))</f>
        <v/>
      </c>
      <c r="E7" s="43"/>
      <c r="F7" s="21" t="str">
        <f>IF(D7="","",AVERAGE(D7:D9))</f>
        <v/>
      </c>
      <c r="G7" s="23" t="s">
        <v>30</v>
      </c>
      <c r="H7" s="25" t="s">
        <v>32</v>
      </c>
    </row>
    <row r="8" spans="1:14" x14ac:dyDescent="0.3">
      <c r="A8" s="15" t="s">
        <v>1</v>
      </c>
      <c r="B8" s="38"/>
      <c r="C8" s="41"/>
      <c r="D8" s="7" t="str">
        <f>IF(B8="","",B8*C8/(365))</f>
        <v/>
      </c>
      <c r="E8" s="44"/>
      <c r="F8" s="35" t="str">
        <f>IF(F7="","",F7*$E$4)</f>
        <v/>
      </c>
      <c r="G8" s="23" t="s">
        <v>33</v>
      </c>
      <c r="H8" s="25" t="s">
        <v>34</v>
      </c>
    </row>
    <row r="9" spans="1:14" ht="15" thickBot="1" x14ac:dyDescent="0.35">
      <c r="A9" s="16" t="s">
        <v>2</v>
      </c>
      <c r="B9" s="39"/>
      <c r="C9" s="42"/>
      <c r="D9" s="9" t="str">
        <f>IF(B9="","",B9*C9/(365))</f>
        <v/>
      </c>
      <c r="E9" s="45"/>
      <c r="F9" s="10" t="str">
        <f>IF(SUM(E7:E9)=0,"",SUM(E7:E9))</f>
        <v/>
      </c>
      <c r="G9" s="23" t="s">
        <v>35</v>
      </c>
      <c r="H9" s="25" t="s">
        <v>36</v>
      </c>
    </row>
    <row r="10" spans="1:14" x14ac:dyDescent="0.3">
      <c r="A10" s="17" t="s">
        <v>64</v>
      </c>
      <c r="B10" s="37"/>
      <c r="C10" s="40"/>
      <c r="D10" s="7" t="str">
        <f t="shared" ref="D10:D24" si="0">IF(B10="","",B10*C10/(365))</f>
        <v/>
      </c>
      <c r="E10" s="43"/>
      <c r="F10" s="21" t="str">
        <f>IF(D10="","",AVERAGE(D10:D12))</f>
        <v/>
      </c>
      <c r="G10" s="25"/>
    </row>
    <row r="11" spans="1:14" x14ac:dyDescent="0.3">
      <c r="A11" s="15" t="s">
        <v>65</v>
      </c>
      <c r="B11" s="38"/>
      <c r="C11" s="41"/>
      <c r="D11" s="7" t="str">
        <f t="shared" si="0"/>
        <v/>
      </c>
      <c r="E11" s="44"/>
      <c r="F11" s="35" t="str">
        <f>IF(F10="","",F10*$E$4)</f>
        <v/>
      </c>
      <c r="G11" s="25"/>
    </row>
    <row r="12" spans="1:14" ht="15" thickBot="1" x14ac:dyDescent="0.35">
      <c r="A12" s="16" t="s">
        <v>66</v>
      </c>
      <c r="B12" s="39"/>
      <c r="C12" s="42"/>
      <c r="D12" s="9" t="str">
        <f t="shared" si="0"/>
        <v/>
      </c>
      <c r="E12" s="45"/>
      <c r="F12" s="10" t="str">
        <f>IF(SUM(E10:E12)=0,"",SUM(E10:E12)+K13)</f>
        <v/>
      </c>
      <c r="G12" s="25"/>
      <c r="H12" s="57"/>
      <c r="I12" s="58" t="s">
        <v>86</v>
      </c>
      <c r="J12" s="58"/>
      <c r="K12" s="58" t="s">
        <v>87</v>
      </c>
      <c r="L12" s="58"/>
      <c r="M12" s="58" t="s">
        <v>88</v>
      </c>
      <c r="N12" s="58"/>
    </row>
    <row r="13" spans="1:14" x14ac:dyDescent="0.3">
      <c r="A13" s="17" t="s">
        <v>67</v>
      </c>
      <c r="B13" s="37"/>
      <c r="C13" s="40"/>
      <c r="D13" s="7" t="str">
        <f t="shared" si="0"/>
        <v/>
      </c>
      <c r="E13" s="43"/>
      <c r="F13" s="21" t="str">
        <f>IF(D13="","",AVERAGE(D13:D15))</f>
        <v/>
      </c>
      <c r="G13" s="25"/>
      <c r="H13" s="59" t="s">
        <v>80</v>
      </c>
      <c r="I13" s="60" t="str">
        <f>IF(F8="","",IF(F9&gt;F8,1,F9/F8))</f>
        <v/>
      </c>
      <c r="J13" s="60"/>
      <c r="K13" s="61" t="str">
        <f>IF(F9="","",IF(F9-F8&gt;F8/2,F8/2,IF(F9-F8&lt;=0,0,F9-F8)))</f>
        <v/>
      </c>
      <c r="L13" s="61"/>
      <c r="M13" s="60" t="str">
        <f>IF(B9="","",(B7*C7+B8*C8+B9*C9)/(C7+C8+C9))</f>
        <v/>
      </c>
      <c r="N13" s="60"/>
    </row>
    <row r="14" spans="1:14" x14ac:dyDescent="0.3">
      <c r="A14" s="15" t="s">
        <v>68</v>
      </c>
      <c r="B14" s="38"/>
      <c r="C14" s="41"/>
      <c r="D14" s="7" t="str">
        <f t="shared" si="0"/>
        <v/>
      </c>
      <c r="E14" s="44"/>
      <c r="F14" s="35" t="str">
        <f>IF(F13="","",F13*$E$4)</f>
        <v/>
      </c>
      <c r="G14" s="25"/>
      <c r="H14" s="59" t="s">
        <v>81</v>
      </c>
      <c r="I14" s="60" t="str">
        <f>IF(F11="","",IF(F12&gt;F11,1,F12/F11))</f>
        <v/>
      </c>
      <c r="J14" s="60"/>
      <c r="K14" s="61" t="str">
        <f>IF(F12="","",IF(F12-F11&gt;F11/2,F11/2,IF(F12-F11&lt;=0,0,F12-F11-K13)))</f>
        <v/>
      </c>
      <c r="L14" s="61"/>
      <c r="M14" s="60" t="str">
        <f>IF(B12="","",(B10*C10+B11*C11+B12*C12)/(C10+C11+C12))</f>
        <v/>
      </c>
      <c r="N14" s="60"/>
    </row>
    <row r="15" spans="1:14" ht="15" thickBot="1" x14ac:dyDescent="0.35">
      <c r="A15" s="16" t="s">
        <v>69</v>
      </c>
      <c r="B15" s="39"/>
      <c r="C15" s="42"/>
      <c r="D15" s="9" t="str">
        <f t="shared" si="0"/>
        <v/>
      </c>
      <c r="E15" s="45"/>
      <c r="F15" s="10" t="str">
        <f>IF(SUM(E13:E15)=0,"",SUM(E13:E15)+K14)</f>
        <v/>
      </c>
      <c r="G15" s="25"/>
      <c r="H15" s="59" t="s">
        <v>82</v>
      </c>
      <c r="I15" s="60" t="str">
        <f>IF(F14="","",IF(F15&gt;F14,1,F15/F14))</f>
        <v/>
      </c>
      <c r="J15" s="60"/>
      <c r="K15" s="61" t="str">
        <f>IF(F15="","",IF(F15-F14&gt;F14/2,F14/2,IF(F15-F14&lt;=0,0,F15-F14-K14)))</f>
        <v/>
      </c>
      <c r="L15" s="61"/>
      <c r="M15" s="60" t="str">
        <f>IF(B15="","",(B13*C13+B14*C14+B15*C15)/(C13+C14+C15))</f>
        <v/>
      </c>
      <c r="N15" s="60"/>
    </row>
    <row r="16" spans="1:14" x14ac:dyDescent="0.3">
      <c r="A16" s="17" t="s">
        <v>70</v>
      </c>
      <c r="B16" s="37"/>
      <c r="C16" s="40"/>
      <c r="D16" s="7" t="str">
        <f t="shared" si="0"/>
        <v/>
      </c>
      <c r="E16" s="43"/>
      <c r="F16" s="21" t="str">
        <f>IF(D16="","",AVERAGE(D16:D18))</f>
        <v/>
      </c>
      <c r="G16" s="25"/>
      <c r="H16" s="59" t="s">
        <v>83</v>
      </c>
      <c r="I16" s="60" t="str">
        <f>IF(F17="","",IF(F18&gt;F17,1,F18/F17))</f>
        <v/>
      </c>
      <c r="J16" s="60"/>
      <c r="K16" s="61" t="str">
        <f>IF(F18="","",IF(F18-F17&gt;F17/2,F17/2,IF(F18-F17&lt;=0,0,F18-F17-K15)))</f>
        <v/>
      </c>
      <c r="L16" s="61"/>
      <c r="M16" s="60" t="str">
        <f>IF(B18="","",(B16*C16+B17*C17+B18*C18)/(C16+C17+C18))</f>
        <v/>
      </c>
      <c r="N16" s="60"/>
    </row>
    <row r="17" spans="1:15" x14ac:dyDescent="0.3">
      <c r="A17" s="15" t="s">
        <v>71</v>
      </c>
      <c r="B17" s="38"/>
      <c r="C17" s="41"/>
      <c r="D17" s="7" t="str">
        <f t="shared" si="0"/>
        <v/>
      </c>
      <c r="E17" s="44"/>
      <c r="F17" s="35" t="str">
        <f>IF(F16="","",F16*$E$4)</f>
        <v/>
      </c>
      <c r="G17" s="25"/>
      <c r="H17" s="59" t="s">
        <v>84</v>
      </c>
      <c r="I17" s="60" t="str">
        <f>IF(F20="","",IF(F21&gt;F20,1,F21/F20))</f>
        <v/>
      </c>
      <c r="J17" s="60"/>
      <c r="K17" s="61" t="str">
        <f>IF(F21="","",IF(F21-F20&gt;F20/2,F20/2,IF(F21-F20&lt;=0,0,F21-F20-K16)))</f>
        <v/>
      </c>
      <c r="L17" s="61"/>
      <c r="M17" s="60" t="str">
        <f>IF(B21="","",(B19*C19+B20*C20+B21*C21)/(C19+C20+C21))</f>
        <v/>
      </c>
      <c r="N17" s="60"/>
    </row>
    <row r="18" spans="1:15" ht="15" thickBot="1" x14ac:dyDescent="0.35">
      <c r="A18" s="16" t="s">
        <v>72</v>
      </c>
      <c r="B18" s="39"/>
      <c r="C18" s="42"/>
      <c r="D18" s="9" t="str">
        <f t="shared" si="0"/>
        <v/>
      </c>
      <c r="E18" s="45"/>
      <c r="F18" s="10" t="str">
        <f>IF(SUM(E16:E18)=0,"",SUM(E16:E18)+K15)</f>
        <v/>
      </c>
      <c r="G18" s="25"/>
      <c r="H18" s="59" t="s">
        <v>85</v>
      </c>
      <c r="I18" s="60" t="str">
        <f>+IF(F23="","",IF(F24&gt;F23,1,F24/F23))</f>
        <v/>
      </c>
      <c r="J18" s="60"/>
      <c r="K18" s="61" t="str">
        <f>IF(F24="","",IF(F24-F23&gt;F23/2,F23/2,IF(F24-F23&lt;=0,0,F24-F23-K17)))</f>
        <v/>
      </c>
      <c r="L18" s="61"/>
      <c r="M18" s="60" t="str">
        <f>IF(B24="","",(B22*C22+B23*C23+B24*C24)/(C22+C23+C24))</f>
        <v/>
      </c>
      <c r="N18" s="60"/>
    </row>
    <row r="19" spans="1:15" x14ac:dyDescent="0.3">
      <c r="A19" s="17" t="s">
        <v>73</v>
      </c>
      <c r="B19" s="37"/>
      <c r="C19" s="40"/>
      <c r="D19" s="7" t="str">
        <f t="shared" si="0"/>
        <v/>
      </c>
      <c r="E19" s="43"/>
      <c r="F19" s="21" t="str">
        <f>IF(D19="","",AVERAGE(D19:D21))</f>
        <v/>
      </c>
      <c r="G19" s="25"/>
      <c r="K19" s="56"/>
    </row>
    <row r="20" spans="1:15" x14ac:dyDescent="0.3">
      <c r="A20" s="15" t="s">
        <v>74</v>
      </c>
      <c r="B20" s="38"/>
      <c r="C20" s="41"/>
      <c r="D20" s="7" t="str">
        <f t="shared" si="0"/>
        <v/>
      </c>
      <c r="E20" s="44"/>
      <c r="F20" s="35" t="str">
        <f>IF(F19="","",F19*$E$4)</f>
        <v/>
      </c>
      <c r="G20" s="25"/>
      <c r="K20" s="56"/>
      <c r="M20" s="55"/>
    </row>
    <row r="21" spans="1:15" ht="15" thickBot="1" x14ac:dyDescent="0.35">
      <c r="A21" s="16" t="s">
        <v>75</v>
      </c>
      <c r="B21" s="39"/>
      <c r="C21" s="42"/>
      <c r="D21" s="9" t="str">
        <f t="shared" si="0"/>
        <v/>
      </c>
      <c r="E21" s="45"/>
      <c r="F21" s="10" t="str">
        <f>IF(SUM(E19:E21)=0,"",SUM(E19:E21)+K16)</f>
        <v/>
      </c>
      <c r="G21" s="25"/>
    </row>
    <row r="22" spans="1:15" x14ac:dyDescent="0.3">
      <c r="A22" s="17" t="s">
        <v>76</v>
      </c>
      <c r="B22" s="37"/>
      <c r="C22" s="40"/>
      <c r="D22" s="7" t="str">
        <f t="shared" si="0"/>
        <v/>
      </c>
      <c r="E22" s="43"/>
      <c r="F22" s="21" t="str">
        <f>IF(D22="","",AVERAGE(D22:D24))</f>
        <v/>
      </c>
      <c r="G22" s="25"/>
    </row>
    <row r="23" spans="1:15" x14ac:dyDescent="0.3">
      <c r="A23" s="15" t="s">
        <v>77</v>
      </c>
      <c r="B23" s="38"/>
      <c r="C23" s="41"/>
      <c r="D23" s="7" t="str">
        <f t="shared" si="0"/>
        <v/>
      </c>
      <c r="E23" s="44"/>
      <c r="F23" s="35" t="str">
        <f>IF(F22="","",F22*$E$4)</f>
        <v/>
      </c>
      <c r="G23" s="25"/>
    </row>
    <row r="24" spans="1:15" ht="15" thickBot="1" x14ac:dyDescent="0.35">
      <c r="A24" s="16" t="s">
        <v>78</v>
      </c>
      <c r="B24" s="39"/>
      <c r="C24" s="42"/>
      <c r="D24" s="9" t="str">
        <f t="shared" si="0"/>
        <v/>
      </c>
      <c r="E24" s="45"/>
      <c r="F24" s="10" t="str">
        <f>IF(SUM(E22:E24)=0,"",SUM(E22:E24)+K17)</f>
        <v/>
      </c>
      <c r="G24" s="25"/>
    </row>
    <row r="25" spans="1:15" ht="15" thickBot="1" x14ac:dyDescent="0.35">
      <c r="F25" s="23"/>
      <c r="G25" s="25"/>
    </row>
    <row r="26" spans="1:15" ht="15" thickBot="1" x14ac:dyDescent="0.35">
      <c r="A26" s="30" t="s">
        <v>12</v>
      </c>
      <c r="B26" s="36"/>
      <c r="D26" t="s">
        <v>79</v>
      </c>
      <c r="E26" s="48">
        <f>INT(COUNTA(B7:B24)/3)</f>
        <v>0</v>
      </c>
      <c r="F26" s="23" t="s">
        <v>37</v>
      </c>
      <c r="G26" s="25" t="s">
        <v>38</v>
      </c>
    </row>
    <row r="27" spans="1:15" x14ac:dyDescent="0.3">
      <c r="A27" s="2"/>
    </row>
    <row r="28" spans="1:15" x14ac:dyDescent="0.3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1:15" ht="15" thickBot="1" x14ac:dyDescent="0.35">
      <c r="A29" s="2"/>
    </row>
    <row r="30" spans="1:15" x14ac:dyDescent="0.3">
      <c r="A30" s="2" t="s">
        <v>55</v>
      </c>
      <c r="B30" s="21" t="str">
        <f>IF(F7="","",AVERAGE(F7,F10,F13,F16,F19,F22))</f>
        <v/>
      </c>
      <c r="C30" s="29" t="s">
        <v>57</v>
      </c>
      <c r="M30" s="53" t="s">
        <v>61</v>
      </c>
    </row>
    <row r="31" spans="1:15" x14ac:dyDescent="0.3">
      <c r="A31" s="30" t="s">
        <v>5</v>
      </c>
      <c r="B31" s="35" t="str">
        <f>+IF(E26&lt;1,"",E26*E4)</f>
        <v/>
      </c>
      <c r="C31" s="29" t="s">
        <v>58</v>
      </c>
      <c r="M31" s="53"/>
    </row>
    <row r="32" spans="1:15" ht="15" thickBot="1" x14ac:dyDescent="0.35">
      <c r="A32" s="2" t="s">
        <v>18</v>
      </c>
      <c r="B32" s="10" t="str">
        <f>IF(E7="","",SUM(E7:E24))</f>
        <v/>
      </c>
      <c r="C32" s="29" t="s">
        <v>39</v>
      </c>
      <c r="M32" s="53"/>
    </row>
    <row r="33" spans="1:15" ht="15" hidden="1" thickBot="1" x14ac:dyDescent="0.35">
      <c r="A33" s="2" t="s">
        <v>26</v>
      </c>
      <c r="B33" s="19"/>
      <c r="C33" s="29" t="s">
        <v>40</v>
      </c>
      <c r="M33" s="53"/>
    </row>
    <row r="34" spans="1:15" ht="15" thickBot="1" x14ac:dyDescent="0.35">
      <c r="A34" s="2" t="s">
        <v>19</v>
      </c>
      <c r="B34" s="11" t="str">
        <f>IF(I13="","",AVERAGE(I13:I18))</f>
        <v/>
      </c>
      <c r="C34" s="29" t="s">
        <v>45</v>
      </c>
      <c r="M34" s="53"/>
    </row>
    <row r="35" spans="1:15" x14ac:dyDescent="0.3">
      <c r="A35" s="2"/>
      <c r="C35" s="29"/>
    </row>
    <row r="36" spans="1:15" x14ac:dyDescent="0.3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</row>
    <row r="37" spans="1:15" ht="15" thickBot="1" x14ac:dyDescent="0.35">
      <c r="A37" s="2"/>
      <c r="C37" s="29"/>
    </row>
    <row r="38" spans="1:15" x14ac:dyDescent="0.3">
      <c r="A38" s="2" t="s">
        <v>90</v>
      </c>
      <c r="B38" s="12" t="str">
        <f>IF(B30="","",_xlfn.XLOOKUP(B26,'No tocar'!A9:A14,'No tocar'!B9:B14,"",0,1)*E26)</f>
        <v/>
      </c>
      <c r="C38" s="29" t="s">
        <v>43</v>
      </c>
      <c r="M38" s="53" t="s">
        <v>62</v>
      </c>
    </row>
    <row r="39" spans="1:15" x14ac:dyDescent="0.3">
      <c r="A39" s="2" t="s">
        <v>89</v>
      </c>
      <c r="B39" s="32" t="str">
        <f>IF(M13="","",AVERAGE(M13:N18))</f>
        <v/>
      </c>
      <c r="C39" s="29" t="s">
        <v>60</v>
      </c>
      <c r="M39" s="53"/>
    </row>
    <row r="40" spans="1:15" x14ac:dyDescent="0.3">
      <c r="A40" s="30" t="s">
        <v>20</v>
      </c>
      <c r="B40" s="13" t="str">
        <f>IF(B38="","",B38*B39)</f>
        <v/>
      </c>
      <c r="C40" s="29" t="s">
        <v>42</v>
      </c>
      <c r="M40" s="53"/>
    </row>
    <row r="41" spans="1:15" ht="15" thickBot="1" x14ac:dyDescent="0.35">
      <c r="A41" s="2" t="s">
        <v>21</v>
      </c>
      <c r="B41" s="14" t="str">
        <f>IF(B40="","",B40*B34)</f>
        <v/>
      </c>
      <c r="C41" s="29" t="s">
        <v>41</v>
      </c>
      <c r="M41" s="53"/>
    </row>
    <row r="42" spans="1:15" ht="15" thickBot="1" x14ac:dyDescent="0.35">
      <c r="A42" s="2"/>
      <c r="C42" s="29"/>
      <c r="M42" s="53"/>
    </row>
    <row r="43" spans="1:15" x14ac:dyDescent="0.3">
      <c r="A43" s="2" t="s">
        <v>22</v>
      </c>
      <c r="B43" s="28" t="str">
        <f>+B41</f>
        <v/>
      </c>
      <c r="C43" s="29" t="s">
        <v>44</v>
      </c>
      <c r="M43" s="53"/>
    </row>
    <row r="44" spans="1:15" x14ac:dyDescent="0.3">
      <c r="A44" s="2" t="s">
        <v>23</v>
      </c>
      <c r="B44" s="33" t="str">
        <f>IF(B43="","",B43/12)</f>
        <v/>
      </c>
      <c r="C44" s="29" t="s">
        <v>46</v>
      </c>
      <c r="M44" s="53"/>
    </row>
    <row r="45" spans="1:15" ht="15" thickBot="1" x14ac:dyDescent="0.35">
      <c r="A45" s="2" t="s">
        <v>24</v>
      </c>
      <c r="B45" s="34" t="str">
        <f>IF(B43="","",B43/14)</f>
        <v/>
      </c>
      <c r="C45" s="29" t="s">
        <v>47</v>
      </c>
      <c r="M45" s="53"/>
    </row>
    <row r="46" spans="1:15" x14ac:dyDescent="0.3">
      <c r="A46" s="2"/>
      <c r="C46" s="29"/>
    </row>
    <row r="47" spans="1:15" x14ac:dyDescent="0.3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</row>
    <row r="48" spans="1:15" x14ac:dyDescent="0.3">
      <c r="A48" s="2"/>
      <c r="C48" s="29"/>
    </row>
    <row r="49" spans="1:15" ht="15" thickBot="1" x14ac:dyDescent="0.35">
      <c r="A49" s="2"/>
      <c r="C49" s="29"/>
      <c r="M49" s="53" t="s">
        <v>63</v>
      </c>
    </row>
    <row r="50" spans="1:15" ht="15" thickBot="1" x14ac:dyDescent="0.35">
      <c r="A50" s="2" t="s">
        <v>50</v>
      </c>
      <c r="B50" s="62"/>
      <c r="C50" s="29"/>
      <c r="M50" s="53"/>
    </row>
    <row r="51" spans="1:15" ht="15" thickBot="1" x14ac:dyDescent="0.35">
      <c r="A51" s="2"/>
      <c r="C51" s="29"/>
      <c r="M51" s="53"/>
    </row>
    <row r="52" spans="1:15" ht="15" thickBot="1" x14ac:dyDescent="0.35">
      <c r="A52" s="2" t="s">
        <v>51</v>
      </c>
      <c r="B52" s="22" t="str">
        <f>+IF(B50=12,B49+B44,IF(B50=14,B45+B49,""))</f>
        <v/>
      </c>
      <c r="C52" s="29" t="s">
        <v>52</v>
      </c>
      <c r="M52" s="53"/>
    </row>
    <row r="54" spans="1:15" x14ac:dyDescent="0.3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</row>
  </sheetData>
  <sheetProtection sheet="1" objects="1" scenarios="1"/>
  <mergeCells count="29">
    <mergeCell ref="M38:M45"/>
    <mergeCell ref="A47:O47"/>
    <mergeCell ref="M49:M52"/>
    <mergeCell ref="A54:O54"/>
    <mergeCell ref="I18:J18"/>
    <mergeCell ref="K18:L18"/>
    <mergeCell ref="M18:N18"/>
    <mergeCell ref="A28:O28"/>
    <mergeCell ref="M30:M34"/>
    <mergeCell ref="A36:O36"/>
    <mergeCell ref="I16:J16"/>
    <mergeCell ref="K16:L16"/>
    <mergeCell ref="M16:N16"/>
    <mergeCell ref="I17:J17"/>
    <mergeCell ref="K17:L17"/>
    <mergeCell ref="M17:N17"/>
    <mergeCell ref="I14:J14"/>
    <mergeCell ref="K14:L14"/>
    <mergeCell ref="M14:N14"/>
    <mergeCell ref="I15:J15"/>
    <mergeCell ref="K15:L15"/>
    <mergeCell ref="M15:N15"/>
    <mergeCell ref="A2:E2"/>
    <mergeCell ref="I12:J12"/>
    <mergeCell ref="K12:L12"/>
    <mergeCell ref="M12:N12"/>
    <mergeCell ref="I13:J13"/>
    <mergeCell ref="K13:L13"/>
    <mergeCell ref="M13:N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2F9A91F-E2BC-4AB7-8205-643EC331CAA9}">
          <x14:formula1>
            <xm:f>'No tocar'!$D$3:$D$4</xm:f>
          </x14:formula1>
          <xm:sqref>B50</xm:sqref>
        </x14:dataValidation>
        <x14:dataValidation type="list" allowBlank="1" showInputMessage="1" showErrorMessage="1" xr:uid="{C0197F29-1263-4C19-8B05-B8C8374EBAFE}">
          <x14:formula1>
            <xm:f>'No tocar'!$A$9:$A$14</xm:f>
          </x14:formula1>
          <xm:sqref>B26</xm:sqref>
        </x14:dataValidation>
        <x14:dataValidation type="list" allowBlank="1" showInputMessage="1" showErrorMessage="1" xr:uid="{D8306FF7-885D-4404-A99D-EA5591030122}">
          <x14:formula1>
            <xm:f>'No tocar'!$A$3:$A$6</xm:f>
          </x14:formula1>
          <xm:sqref>B4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4355C-E79D-442E-A46D-212EEB0E13EA}">
  <dimension ref="A1:O54"/>
  <sheetViews>
    <sheetView showGridLines="0" workbookViewId="0">
      <selection activeCell="G9" sqref="G9"/>
    </sheetView>
  </sheetViews>
  <sheetFormatPr baseColWidth="10" defaultRowHeight="14.4" x14ac:dyDescent="0.3"/>
  <cols>
    <col min="1" max="1" width="35.44140625" customWidth="1"/>
    <col min="6" max="6" width="11.5546875" style="20"/>
  </cols>
  <sheetData>
    <row r="1" spans="1:14" ht="15" thickBot="1" x14ac:dyDescent="0.35"/>
    <row r="2" spans="1:14" ht="46.2" customHeight="1" thickBot="1" x14ac:dyDescent="0.45">
      <c r="A2" s="50" t="s">
        <v>92</v>
      </c>
      <c r="B2" s="51"/>
      <c r="C2" s="51"/>
      <c r="D2" s="51"/>
      <c r="E2" s="52"/>
      <c r="G2" s="27" t="s">
        <v>53</v>
      </c>
    </row>
    <row r="3" spans="1:14" ht="15" thickBot="1" x14ac:dyDescent="0.35">
      <c r="B3" s="31" t="s">
        <v>16</v>
      </c>
      <c r="E3" s="31" t="s">
        <v>25</v>
      </c>
    </row>
    <row r="4" spans="1:14" ht="15" thickBot="1" x14ac:dyDescent="0.35">
      <c r="A4" s="23" t="s">
        <v>6</v>
      </c>
      <c r="B4" s="36" t="s">
        <v>8</v>
      </c>
      <c r="D4" s="23" t="s">
        <v>54</v>
      </c>
      <c r="E4" s="3">
        <f>+IF(B4&lt;&gt;"",_xlfn.XLOOKUP(B4,'No tocar'!A3:A6,'No tocar'!B3:B6,"",0,1),"")</f>
        <v>30</v>
      </c>
      <c r="F4" s="23" t="s">
        <v>31</v>
      </c>
      <c r="G4" s="25" t="s">
        <v>28</v>
      </c>
    </row>
    <row r="5" spans="1:14" ht="15" thickBot="1" x14ac:dyDescent="0.35">
      <c r="F5" s="23"/>
      <c r="G5" s="25" t="s">
        <v>29</v>
      </c>
    </row>
    <row r="6" spans="1:14" s="1" customFormat="1" ht="43.8" thickBot="1" x14ac:dyDescent="0.35">
      <c r="A6" s="18" t="s">
        <v>27</v>
      </c>
      <c r="B6" s="4" t="s">
        <v>3</v>
      </c>
      <c r="C6" s="5" t="s">
        <v>4</v>
      </c>
      <c r="D6" s="5" t="s">
        <v>15</v>
      </c>
      <c r="E6" s="6" t="s">
        <v>17</v>
      </c>
      <c r="F6" s="24"/>
      <c r="G6" s="26"/>
    </row>
    <row r="7" spans="1:14" x14ac:dyDescent="0.3">
      <c r="A7" s="17" t="s">
        <v>0</v>
      </c>
      <c r="B7" s="37">
        <v>1</v>
      </c>
      <c r="C7" s="40">
        <v>272</v>
      </c>
      <c r="D7" s="7">
        <f>IF(B7="","",B7*C7/(365))</f>
        <v>0.74520547945205484</v>
      </c>
      <c r="E7" s="43">
        <v>8</v>
      </c>
      <c r="F7" s="21">
        <f>IF(D7="","",AVERAGE(D7:D9))</f>
        <v>0.74885844748858454</v>
      </c>
      <c r="G7" s="23" t="s">
        <v>30</v>
      </c>
      <c r="H7" s="25" t="s">
        <v>32</v>
      </c>
    </row>
    <row r="8" spans="1:14" x14ac:dyDescent="0.3">
      <c r="A8" s="15" t="s">
        <v>1</v>
      </c>
      <c r="B8" s="38">
        <v>1</v>
      </c>
      <c r="C8" s="41">
        <v>273</v>
      </c>
      <c r="D8" s="7">
        <f>IF(B8="","",B8*C8/(365))</f>
        <v>0.74794520547945209</v>
      </c>
      <c r="E8" s="44">
        <v>8</v>
      </c>
      <c r="F8" s="35">
        <f>IF(F7="","",F7*$E$4)</f>
        <v>22.465753424657535</v>
      </c>
      <c r="G8" s="23" t="s">
        <v>33</v>
      </c>
      <c r="H8" s="25" t="s">
        <v>34</v>
      </c>
    </row>
    <row r="9" spans="1:14" ht="15" thickBot="1" x14ac:dyDescent="0.35">
      <c r="A9" s="16" t="s">
        <v>2</v>
      </c>
      <c r="B9" s="39">
        <v>1</v>
      </c>
      <c r="C9" s="42">
        <v>275</v>
      </c>
      <c r="D9" s="9">
        <f>IF(B9="","",B9*C9/(365))</f>
        <v>0.75342465753424659</v>
      </c>
      <c r="E9" s="45">
        <v>8</v>
      </c>
      <c r="F9" s="10">
        <f>IF(SUM(E7:E9)=0,"",SUM(E7:E9))</f>
        <v>24</v>
      </c>
      <c r="G9" s="23" t="s">
        <v>35</v>
      </c>
      <c r="H9" s="25" t="s">
        <v>36</v>
      </c>
    </row>
    <row r="10" spans="1:14" x14ac:dyDescent="0.3">
      <c r="A10" s="17" t="s">
        <v>64</v>
      </c>
      <c r="B10" s="37">
        <v>1</v>
      </c>
      <c r="C10" s="40">
        <v>272</v>
      </c>
      <c r="D10" s="7">
        <f t="shared" ref="D10:D24" si="0">IF(B10="","",B10*C10/(365))</f>
        <v>0.74520547945205484</v>
      </c>
      <c r="E10" s="43">
        <v>8</v>
      </c>
      <c r="F10" s="21">
        <f>IF(D10="","",AVERAGE(D10:D12))</f>
        <v>0.74885844748858454</v>
      </c>
      <c r="G10" s="25"/>
    </row>
    <row r="11" spans="1:14" x14ac:dyDescent="0.3">
      <c r="A11" s="15" t="s">
        <v>65</v>
      </c>
      <c r="B11" s="38">
        <v>1</v>
      </c>
      <c r="C11" s="41">
        <v>273</v>
      </c>
      <c r="D11" s="7">
        <f t="shared" si="0"/>
        <v>0.74794520547945209</v>
      </c>
      <c r="E11" s="44">
        <v>8</v>
      </c>
      <c r="F11" s="35">
        <f>IF(F10="","",F10*$E$4)</f>
        <v>22.465753424657535</v>
      </c>
      <c r="G11" s="25"/>
    </row>
    <row r="12" spans="1:14" ht="15" thickBot="1" x14ac:dyDescent="0.35">
      <c r="A12" s="16" t="s">
        <v>66</v>
      </c>
      <c r="B12" s="39">
        <v>1</v>
      </c>
      <c r="C12" s="42">
        <v>275</v>
      </c>
      <c r="D12" s="9">
        <f t="shared" si="0"/>
        <v>0.75342465753424659</v>
      </c>
      <c r="E12" s="45">
        <v>8</v>
      </c>
      <c r="F12" s="10">
        <f>IF(SUM(E10:E12)=0,"",SUM(E10:E12)+K13)</f>
        <v>25.534246575342465</v>
      </c>
      <c r="G12" s="25"/>
      <c r="H12" s="57"/>
      <c r="I12" s="58" t="s">
        <v>86</v>
      </c>
      <c r="J12" s="58"/>
      <c r="K12" s="58" t="s">
        <v>87</v>
      </c>
      <c r="L12" s="58"/>
      <c r="M12" s="58" t="s">
        <v>88</v>
      </c>
      <c r="N12" s="58"/>
    </row>
    <row r="13" spans="1:14" x14ac:dyDescent="0.3">
      <c r="A13" s="17" t="s">
        <v>67</v>
      </c>
      <c r="B13" s="37">
        <v>1</v>
      </c>
      <c r="C13" s="40">
        <v>272</v>
      </c>
      <c r="D13" s="7">
        <f t="shared" si="0"/>
        <v>0.74520547945205484</v>
      </c>
      <c r="E13" s="43"/>
      <c r="F13" s="21">
        <f>IF(D13="","",AVERAGE(D13:D15))</f>
        <v>0.74885844748858454</v>
      </c>
      <c r="G13" s="25"/>
      <c r="H13" s="59" t="s">
        <v>80</v>
      </c>
      <c r="I13" s="60">
        <f>IF(F8="","",IF(F9&gt;F8,1,F9/F8))</f>
        <v>1</v>
      </c>
      <c r="J13" s="60"/>
      <c r="K13" s="61">
        <f>IF(F9="","",IF(F9-F8&gt;F8/2,F8/2,IF(F9-F8&lt;=0,0,F9-F8)))</f>
        <v>1.5342465753424648</v>
      </c>
      <c r="L13" s="61"/>
      <c r="M13" s="60">
        <f>IF(B9="","",(B7*C7+B8*C8+B9*C9)/(C7+C8+C9))</f>
        <v>1</v>
      </c>
      <c r="N13" s="60"/>
    </row>
    <row r="14" spans="1:14" x14ac:dyDescent="0.3">
      <c r="A14" s="15" t="s">
        <v>68</v>
      </c>
      <c r="B14" s="38">
        <v>1</v>
      </c>
      <c r="C14" s="41">
        <v>273</v>
      </c>
      <c r="D14" s="7">
        <f t="shared" si="0"/>
        <v>0.74794520547945209</v>
      </c>
      <c r="E14" s="44"/>
      <c r="F14" s="35">
        <f>IF(F13="","",F13*$E$4)</f>
        <v>22.465753424657535</v>
      </c>
      <c r="G14" s="25"/>
      <c r="H14" s="59" t="s">
        <v>81</v>
      </c>
      <c r="I14" s="60">
        <f>IF(F11="","",IF(F12&gt;F11,1,F12/F11))</f>
        <v>1</v>
      </c>
      <c r="J14" s="60"/>
      <c r="K14" s="61">
        <f>IF(F12="","",IF(F12-F11&gt;F11/2,F11/2,IF(F12-F11&lt;=0,0,F12-F11-K13)))</f>
        <v>1.5342465753424648</v>
      </c>
      <c r="L14" s="61"/>
      <c r="M14" s="60">
        <f>IF(B12="","",(B10*C10+B11*C11+B12*C12)/(C10+C11+C12))</f>
        <v>1</v>
      </c>
      <c r="N14" s="60"/>
    </row>
    <row r="15" spans="1:14" ht="15" thickBot="1" x14ac:dyDescent="0.35">
      <c r="A15" s="16" t="s">
        <v>69</v>
      </c>
      <c r="B15" s="39">
        <v>1</v>
      </c>
      <c r="C15" s="42">
        <v>275</v>
      </c>
      <c r="D15" s="9">
        <f t="shared" si="0"/>
        <v>0.75342465753424659</v>
      </c>
      <c r="E15" s="45">
        <v>8</v>
      </c>
      <c r="F15" s="10">
        <f>IF(SUM(E13:E15)=0,"",SUM(E13:E15)+K14)</f>
        <v>9.5342465753424648</v>
      </c>
      <c r="G15" s="25"/>
      <c r="H15" s="59" t="s">
        <v>82</v>
      </c>
      <c r="I15" s="60">
        <f>IF(F14="","",IF(F15&gt;F14,1,F15/F14))</f>
        <v>0.42439024390243896</v>
      </c>
      <c r="J15" s="60"/>
      <c r="K15" s="61">
        <f>IF(F15="","",IF(F15-F14&gt;F14/2,F14/2,IF(F15-F14&lt;=0,0,F15-F14-K14)))</f>
        <v>0</v>
      </c>
      <c r="L15" s="61"/>
      <c r="M15" s="60">
        <f>IF(B15="","",(B13*C13+B14*C14+B15*C15)/(C13+C14+C15))</f>
        <v>1</v>
      </c>
      <c r="N15" s="60"/>
    </row>
    <row r="16" spans="1:14" x14ac:dyDescent="0.3">
      <c r="A16" s="17" t="s">
        <v>70</v>
      </c>
      <c r="B16" s="37"/>
      <c r="C16" s="40"/>
      <c r="D16" s="7" t="str">
        <f t="shared" si="0"/>
        <v/>
      </c>
      <c r="E16" s="43"/>
      <c r="F16" s="21" t="str">
        <f>IF(D16="","",AVERAGE(D16:D18))</f>
        <v/>
      </c>
      <c r="G16" s="25"/>
      <c r="H16" s="59" t="s">
        <v>83</v>
      </c>
      <c r="I16" s="60" t="str">
        <f>IF(F17="","",IF(F18&gt;F17,1,F18/F17))</f>
        <v/>
      </c>
      <c r="J16" s="60"/>
      <c r="K16" s="61" t="str">
        <f>IF(F18="","",IF(F18-F17&gt;F17/2,F17/2,IF(F18-F17&lt;=0,0,F18-F17-K15)))</f>
        <v/>
      </c>
      <c r="L16" s="61"/>
      <c r="M16" s="60" t="str">
        <f>IF(B18="","",(B16*C16+B17*C17+B18*C18)/(C16+C17+C18))</f>
        <v/>
      </c>
      <c r="N16" s="60"/>
    </row>
    <row r="17" spans="1:15" x14ac:dyDescent="0.3">
      <c r="A17" s="15" t="s">
        <v>71</v>
      </c>
      <c r="B17" s="38"/>
      <c r="C17" s="41"/>
      <c r="D17" s="7" t="str">
        <f t="shared" si="0"/>
        <v/>
      </c>
      <c r="E17" s="44"/>
      <c r="F17" s="35" t="str">
        <f>IF(F16="","",F16*$E$4)</f>
        <v/>
      </c>
      <c r="G17" s="25"/>
      <c r="H17" s="59" t="s">
        <v>84</v>
      </c>
      <c r="I17" s="60" t="str">
        <f>IF(F20="","",IF(F21&gt;F20,1,F21/F20))</f>
        <v/>
      </c>
      <c r="J17" s="60"/>
      <c r="K17" s="61" t="str">
        <f>IF(F21="","",IF(F21-F20&gt;F20/2,F20/2,IF(F21-F20&lt;=0,0,F21-F20-K16)))</f>
        <v/>
      </c>
      <c r="L17" s="61"/>
      <c r="M17" s="60" t="str">
        <f>IF(B21="","",(B19*C19+B20*C20+B21*C21)/(C19+C20+C21))</f>
        <v/>
      </c>
      <c r="N17" s="60"/>
    </row>
    <row r="18" spans="1:15" ht="15" thickBot="1" x14ac:dyDescent="0.35">
      <c r="A18" s="16" t="s">
        <v>72</v>
      </c>
      <c r="B18" s="39"/>
      <c r="C18" s="42"/>
      <c r="D18" s="9" t="str">
        <f t="shared" si="0"/>
        <v/>
      </c>
      <c r="E18" s="45"/>
      <c r="F18" s="10" t="str">
        <f>IF(SUM(E16:E18)=0,"",SUM(E16:E18)+K15)</f>
        <v/>
      </c>
      <c r="G18" s="25"/>
      <c r="H18" s="59" t="s">
        <v>85</v>
      </c>
      <c r="I18" s="60" t="str">
        <f>+IF(F23="","",IF(F24&gt;F23,1,F24/F23))</f>
        <v/>
      </c>
      <c r="J18" s="60"/>
      <c r="K18" s="61" t="str">
        <f>IF(F24="","",IF(F24-F23&gt;F23/2,F23/2,IF(F24-F23&lt;=0,0,F24-F23-K17)))</f>
        <v/>
      </c>
      <c r="L18" s="61"/>
      <c r="M18" s="60" t="str">
        <f>IF(B24="","",(B22*C22+B23*C23+B24*C24)/(C22+C23+C24))</f>
        <v/>
      </c>
      <c r="N18" s="60"/>
    </row>
    <row r="19" spans="1:15" x14ac:dyDescent="0.3">
      <c r="A19" s="17" t="s">
        <v>73</v>
      </c>
      <c r="B19" s="37"/>
      <c r="C19" s="40"/>
      <c r="D19" s="7" t="str">
        <f t="shared" si="0"/>
        <v/>
      </c>
      <c r="E19" s="43"/>
      <c r="F19" s="21" t="str">
        <f>IF(D19="","",AVERAGE(D19:D21))</f>
        <v/>
      </c>
      <c r="G19" s="25"/>
      <c r="K19" s="56"/>
    </row>
    <row r="20" spans="1:15" x14ac:dyDescent="0.3">
      <c r="A20" s="15" t="s">
        <v>74</v>
      </c>
      <c r="B20" s="38"/>
      <c r="C20" s="41"/>
      <c r="D20" s="7" t="str">
        <f t="shared" si="0"/>
        <v/>
      </c>
      <c r="E20" s="44"/>
      <c r="F20" s="35" t="str">
        <f>IF(F19="","",F19*$E$4)</f>
        <v/>
      </c>
      <c r="G20" s="25"/>
      <c r="K20" s="56"/>
      <c r="M20" s="55"/>
    </row>
    <row r="21" spans="1:15" ht="15" thickBot="1" x14ac:dyDescent="0.35">
      <c r="A21" s="16" t="s">
        <v>75</v>
      </c>
      <c r="B21" s="39"/>
      <c r="C21" s="42"/>
      <c r="D21" s="9" t="str">
        <f t="shared" si="0"/>
        <v/>
      </c>
      <c r="E21" s="45"/>
      <c r="F21" s="10" t="str">
        <f>IF(SUM(E19:E21)=0,"",SUM(E19:E21)+K16)</f>
        <v/>
      </c>
      <c r="G21" s="25"/>
    </row>
    <row r="22" spans="1:15" x14ac:dyDescent="0.3">
      <c r="A22" s="17" t="s">
        <v>76</v>
      </c>
      <c r="B22" s="37"/>
      <c r="C22" s="40"/>
      <c r="D22" s="7" t="str">
        <f t="shared" si="0"/>
        <v/>
      </c>
      <c r="E22" s="43"/>
      <c r="F22" s="21" t="str">
        <f>IF(D22="","",AVERAGE(D22:D24))</f>
        <v/>
      </c>
      <c r="G22" s="25"/>
    </row>
    <row r="23" spans="1:15" x14ac:dyDescent="0.3">
      <c r="A23" s="15" t="s">
        <v>77</v>
      </c>
      <c r="B23" s="38"/>
      <c r="C23" s="41"/>
      <c r="D23" s="7" t="str">
        <f t="shared" si="0"/>
        <v/>
      </c>
      <c r="E23" s="44"/>
      <c r="F23" s="35" t="str">
        <f>IF(F22="","",F22*$E$4)</f>
        <v/>
      </c>
      <c r="G23" s="25"/>
    </row>
    <row r="24" spans="1:15" ht="15" thickBot="1" x14ac:dyDescent="0.35">
      <c r="A24" s="16" t="s">
        <v>78</v>
      </c>
      <c r="B24" s="39"/>
      <c r="C24" s="42"/>
      <c r="D24" s="9" t="str">
        <f t="shared" si="0"/>
        <v/>
      </c>
      <c r="E24" s="45"/>
      <c r="F24" s="10" t="str">
        <f>IF(SUM(E22:E24)=0,"",SUM(E22:E24)+K17)</f>
        <v/>
      </c>
      <c r="G24" s="25"/>
    </row>
    <row r="25" spans="1:15" ht="15" thickBot="1" x14ac:dyDescent="0.35">
      <c r="F25" s="23"/>
      <c r="G25" s="25"/>
    </row>
    <row r="26" spans="1:15" ht="15" thickBot="1" x14ac:dyDescent="0.35">
      <c r="A26" s="30" t="s">
        <v>12</v>
      </c>
      <c r="B26" s="36">
        <v>2026</v>
      </c>
      <c r="D26" t="s">
        <v>79</v>
      </c>
      <c r="E26" s="48">
        <f>INT(COUNTA(B7:B24)/3)</f>
        <v>3</v>
      </c>
      <c r="F26" s="23" t="s">
        <v>37</v>
      </c>
      <c r="G26" s="25" t="s">
        <v>38</v>
      </c>
    </row>
    <row r="27" spans="1:15" x14ac:dyDescent="0.3">
      <c r="A27" s="2"/>
    </row>
    <row r="28" spans="1:15" x14ac:dyDescent="0.3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1:15" ht="15" thickBot="1" x14ac:dyDescent="0.35">
      <c r="A29" s="2"/>
    </row>
    <row r="30" spans="1:15" x14ac:dyDescent="0.3">
      <c r="A30" s="2" t="s">
        <v>55</v>
      </c>
      <c r="B30" s="21">
        <f>IF(F7="","",AVERAGE(F7,F10,F13,F16,F19,F22))</f>
        <v>0.74885844748858454</v>
      </c>
      <c r="C30" s="29" t="s">
        <v>57</v>
      </c>
      <c r="M30" s="53" t="s">
        <v>61</v>
      </c>
    </row>
    <row r="31" spans="1:15" x14ac:dyDescent="0.3">
      <c r="A31" s="30" t="s">
        <v>5</v>
      </c>
      <c r="B31" s="35">
        <f>+IF(E26&lt;1,"",E26*E4)</f>
        <v>90</v>
      </c>
      <c r="C31" s="29" t="s">
        <v>58</v>
      </c>
      <c r="M31" s="53"/>
    </row>
    <row r="32" spans="1:15" ht="15" thickBot="1" x14ac:dyDescent="0.35">
      <c r="A32" s="2" t="s">
        <v>18</v>
      </c>
      <c r="B32" s="10">
        <f>IF(E7="","",SUM(E7:E24))</f>
        <v>56</v>
      </c>
      <c r="C32" s="29" t="s">
        <v>39</v>
      </c>
      <c r="M32" s="53"/>
    </row>
    <row r="33" spans="1:15" ht="15" hidden="1" thickBot="1" x14ac:dyDescent="0.35">
      <c r="A33" s="2" t="s">
        <v>26</v>
      </c>
      <c r="B33" s="19"/>
      <c r="C33" s="29" t="s">
        <v>40</v>
      </c>
      <c r="M33" s="53"/>
    </row>
    <row r="34" spans="1:15" ht="15" thickBot="1" x14ac:dyDescent="0.35">
      <c r="A34" s="2" t="s">
        <v>19</v>
      </c>
      <c r="B34" s="11">
        <f>IF(I13="","",AVERAGE(I13:I18))</f>
        <v>0.80813008130081299</v>
      </c>
      <c r="C34" s="29" t="s">
        <v>45</v>
      </c>
      <c r="M34" s="53"/>
    </row>
    <row r="35" spans="1:15" x14ac:dyDescent="0.3">
      <c r="A35" s="2"/>
      <c r="C35" s="29"/>
    </row>
    <row r="36" spans="1:15" x14ac:dyDescent="0.3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</row>
    <row r="37" spans="1:15" ht="15" thickBot="1" x14ac:dyDescent="0.35">
      <c r="A37" s="2"/>
      <c r="C37" s="29"/>
    </row>
    <row r="38" spans="1:15" x14ac:dyDescent="0.3">
      <c r="A38" s="2" t="s">
        <v>90</v>
      </c>
      <c r="B38" s="12">
        <f>IF(B30="","",_xlfn.XLOOKUP(B26,'No tocar'!A9:A14,'No tocar'!B9:B14,"",0,1)*E26)</f>
        <v>1489.92</v>
      </c>
      <c r="C38" s="29" t="s">
        <v>43</v>
      </c>
      <c r="M38" s="53" t="s">
        <v>62</v>
      </c>
    </row>
    <row r="39" spans="1:15" x14ac:dyDescent="0.3">
      <c r="A39" s="2" t="s">
        <v>89</v>
      </c>
      <c r="B39" s="32">
        <f>IF(M13="","",AVERAGE(M13:N18))</f>
        <v>1</v>
      </c>
      <c r="C39" s="29" t="s">
        <v>60</v>
      </c>
      <c r="M39" s="53"/>
    </row>
    <row r="40" spans="1:15" x14ac:dyDescent="0.3">
      <c r="A40" s="30" t="s">
        <v>20</v>
      </c>
      <c r="B40" s="13">
        <f>IF(B38="","",B38*B39)</f>
        <v>1489.92</v>
      </c>
      <c r="C40" s="29" t="s">
        <v>42</v>
      </c>
      <c r="M40" s="53"/>
    </row>
    <row r="41" spans="1:15" ht="15" thickBot="1" x14ac:dyDescent="0.35">
      <c r="A41" s="2" t="s">
        <v>21</v>
      </c>
      <c r="B41" s="14">
        <f>IF(B40="","",B40*B34)</f>
        <v>1204.0491707317074</v>
      </c>
      <c r="C41" s="29" t="s">
        <v>41</v>
      </c>
      <c r="M41" s="53"/>
    </row>
    <row r="42" spans="1:15" ht="15" thickBot="1" x14ac:dyDescent="0.35">
      <c r="A42" s="2"/>
      <c r="C42" s="29"/>
      <c r="M42" s="53"/>
    </row>
    <row r="43" spans="1:15" x14ac:dyDescent="0.3">
      <c r="A43" s="2" t="s">
        <v>22</v>
      </c>
      <c r="B43" s="28">
        <f>+B41</f>
        <v>1204.0491707317074</v>
      </c>
      <c r="C43" s="29" t="s">
        <v>44</v>
      </c>
      <c r="M43" s="53"/>
    </row>
    <row r="44" spans="1:15" x14ac:dyDescent="0.3">
      <c r="A44" s="2" t="s">
        <v>23</v>
      </c>
      <c r="B44" s="33">
        <f>IF(B43="","",B43/12)</f>
        <v>100.33743089430895</v>
      </c>
      <c r="C44" s="29" t="s">
        <v>46</v>
      </c>
      <c r="M44" s="53"/>
    </row>
    <row r="45" spans="1:15" ht="15" thickBot="1" x14ac:dyDescent="0.35">
      <c r="A45" s="2" t="s">
        <v>24</v>
      </c>
      <c r="B45" s="34">
        <f>IF(B43="","",B43/14)</f>
        <v>86.003512195121957</v>
      </c>
      <c r="C45" s="29" t="s">
        <v>47</v>
      </c>
      <c r="M45" s="53"/>
    </row>
    <row r="46" spans="1:15" x14ac:dyDescent="0.3">
      <c r="A46" s="2"/>
      <c r="C46" s="29"/>
    </row>
    <row r="47" spans="1:15" x14ac:dyDescent="0.3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</row>
    <row r="48" spans="1:15" ht="15" thickBot="1" x14ac:dyDescent="0.35">
      <c r="A48" s="2"/>
      <c r="C48" s="29"/>
    </row>
    <row r="49" spans="1:15" ht="15" thickBot="1" x14ac:dyDescent="0.35">
      <c r="A49" s="2"/>
      <c r="C49" s="29"/>
      <c r="M49" s="53" t="s">
        <v>63</v>
      </c>
    </row>
    <row r="50" spans="1:15" ht="15" thickBot="1" x14ac:dyDescent="0.35">
      <c r="A50" s="2" t="s">
        <v>50</v>
      </c>
      <c r="B50" s="62">
        <v>12</v>
      </c>
      <c r="C50" s="29"/>
      <c r="M50" s="53"/>
    </row>
    <row r="51" spans="1:15" ht="15" thickBot="1" x14ac:dyDescent="0.35">
      <c r="A51" s="2"/>
      <c r="C51" s="29"/>
      <c r="M51" s="53"/>
    </row>
    <row r="52" spans="1:15" ht="15" thickBot="1" x14ac:dyDescent="0.35">
      <c r="A52" s="2" t="s">
        <v>51</v>
      </c>
      <c r="B52" s="22">
        <f>+IF(B50=12,B49+B44,IF(B50=14,B45+B49,""))</f>
        <v>100.33743089430895</v>
      </c>
      <c r="C52" s="29" t="s">
        <v>52</v>
      </c>
      <c r="M52" s="53"/>
    </row>
    <row r="54" spans="1:15" x14ac:dyDescent="0.3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</row>
  </sheetData>
  <sheetProtection sheet="1" objects="1" scenarios="1"/>
  <mergeCells count="29">
    <mergeCell ref="K18:L18"/>
    <mergeCell ref="M12:N12"/>
    <mergeCell ref="M13:N13"/>
    <mergeCell ref="M14:N14"/>
    <mergeCell ref="M15:N15"/>
    <mergeCell ref="M16:N16"/>
    <mergeCell ref="M17:N17"/>
    <mergeCell ref="M18:N18"/>
    <mergeCell ref="K13:L13"/>
    <mergeCell ref="K14:L14"/>
    <mergeCell ref="K15:L15"/>
    <mergeCell ref="K16:L16"/>
    <mergeCell ref="K17:L17"/>
    <mergeCell ref="M49:M52"/>
    <mergeCell ref="A54:O54"/>
    <mergeCell ref="A2:E2"/>
    <mergeCell ref="A28:O28"/>
    <mergeCell ref="M30:M34"/>
    <mergeCell ref="A36:O36"/>
    <mergeCell ref="M38:M45"/>
    <mergeCell ref="A47:O47"/>
    <mergeCell ref="I12:J12"/>
    <mergeCell ref="I13:J13"/>
    <mergeCell ref="I14:J14"/>
    <mergeCell ref="I15:J15"/>
    <mergeCell ref="I16:J16"/>
    <mergeCell ref="I17:J17"/>
    <mergeCell ref="I18:J18"/>
    <mergeCell ref="K12:L12"/>
  </mergeCells>
  <phoneticPr fontId="9" type="noConversion"/>
  <pageMargins left="0.7" right="0.7" top="0.75" bottom="0.75" header="0.3" footer="0.3"/>
  <pageSetup paperSize="9" orientation="portrait" r:id="rId1"/>
  <ignoredErrors>
    <ignoredError sqref="F9 F12 F15 F18" formulaRange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EDD401A-908B-4403-88FF-3637648C17F7}">
          <x14:formula1>
            <xm:f>'No tocar'!$A$3:$A$6</xm:f>
          </x14:formula1>
          <xm:sqref>B4</xm:sqref>
        </x14:dataValidation>
        <x14:dataValidation type="list" allowBlank="1" showInputMessage="1" showErrorMessage="1" xr:uid="{607BD12F-30C2-448F-A91C-BD4FC30FD59D}">
          <x14:formula1>
            <xm:f>'No tocar'!$A$9:$A$14</xm:f>
          </x14:formula1>
          <xm:sqref>B26</xm:sqref>
        </x14:dataValidation>
        <x14:dataValidation type="list" allowBlank="1" showInputMessage="1" showErrorMessage="1" xr:uid="{EB574179-DC83-4655-8417-4F796CA96951}">
          <x14:formula1>
            <xm:f>'No tocar'!$D$3:$D$4</xm:f>
          </x14:formula1>
          <xm:sqref>B50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B0A30-929C-461F-B350-F3910FC35BA1}">
  <dimension ref="A2:K18"/>
  <sheetViews>
    <sheetView workbookViewId="0">
      <selection activeCell="K17" sqref="K17"/>
    </sheetView>
  </sheetViews>
  <sheetFormatPr baseColWidth="10" defaultRowHeight="14.4" x14ac:dyDescent="0.3"/>
  <sheetData>
    <row r="2" spans="1:10" x14ac:dyDescent="0.3">
      <c r="A2" t="s">
        <v>7</v>
      </c>
      <c r="G2" t="s">
        <v>7</v>
      </c>
    </row>
    <row r="3" spans="1:10" x14ac:dyDescent="0.3">
      <c r="A3" t="s">
        <v>8</v>
      </c>
      <c r="B3">
        <v>30</v>
      </c>
      <c r="D3">
        <v>12</v>
      </c>
      <c r="G3" t="s">
        <v>8</v>
      </c>
      <c r="H3">
        <v>30</v>
      </c>
      <c r="J3">
        <v>12</v>
      </c>
    </row>
    <row r="4" spans="1:10" x14ac:dyDescent="0.3">
      <c r="A4" t="s">
        <v>9</v>
      </c>
      <c r="B4">
        <v>5</v>
      </c>
      <c r="D4">
        <v>14</v>
      </c>
      <c r="G4" t="s">
        <v>9</v>
      </c>
      <c r="H4">
        <v>5</v>
      </c>
      <c r="J4">
        <v>14</v>
      </c>
    </row>
    <row r="5" spans="1:10" x14ac:dyDescent="0.3">
      <c r="A5" t="s">
        <v>10</v>
      </c>
      <c r="B5">
        <v>5</v>
      </c>
      <c r="G5" t="s">
        <v>10</v>
      </c>
      <c r="H5">
        <v>5</v>
      </c>
    </row>
    <row r="6" spans="1:10" x14ac:dyDescent="0.3">
      <c r="A6" t="s">
        <v>11</v>
      </c>
      <c r="B6">
        <v>10</v>
      </c>
      <c r="G6" t="s">
        <v>11</v>
      </c>
      <c r="H6">
        <v>10</v>
      </c>
    </row>
    <row r="8" spans="1:10" x14ac:dyDescent="0.3">
      <c r="A8" t="s">
        <v>13</v>
      </c>
      <c r="B8" t="s">
        <v>14</v>
      </c>
      <c r="G8" t="s">
        <v>13</v>
      </c>
      <c r="H8" t="s">
        <v>14</v>
      </c>
    </row>
    <row r="9" spans="1:10" x14ac:dyDescent="0.3">
      <c r="A9">
        <v>2022</v>
      </c>
      <c r="B9">
        <v>431.75</v>
      </c>
      <c r="G9">
        <v>2022</v>
      </c>
      <c r="H9">
        <v>431.75</v>
      </c>
    </row>
    <row r="10" spans="1:10" x14ac:dyDescent="0.3">
      <c r="A10">
        <v>2023</v>
      </c>
      <c r="B10">
        <v>431.75</v>
      </c>
      <c r="G10">
        <v>2023</v>
      </c>
      <c r="H10">
        <v>431.75</v>
      </c>
    </row>
    <row r="11" spans="1:10" x14ac:dyDescent="0.3">
      <c r="A11">
        <v>2024</v>
      </c>
      <c r="B11">
        <v>463.62</v>
      </c>
      <c r="G11">
        <v>2024</v>
      </c>
      <c r="H11">
        <v>463.62</v>
      </c>
    </row>
    <row r="12" spans="1:10" x14ac:dyDescent="0.3">
      <c r="A12">
        <v>2025</v>
      </c>
      <c r="B12">
        <v>479.84</v>
      </c>
      <c r="G12">
        <v>2025</v>
      </c>
      <c r="H12">
        <v>479.84</v>
      </c>
    </row>
    <row r="13" spans="1:10" x14ac:dyDescent="0.3">
      <c r="A13">
        <v>2026</v>
      </c>
      <c r="B13">
        <v>496.64</v>
      </c>
      <c r="G13">
        <v>2026</v>
      </c>
      <c r="H13">
        <v>496.64</v>
      </c>
    </row>
    <row r="14" spans="1:10" x14ac:dyDescent="0.3">
      <c r="A14">
        <v>2027</v>
      </c>
      <c r="B14">
        <v>514.02</v>
      </c>
      <c r="G14">
        <v>2027</v>
      </c>
      <c r="H14">
        <v>514.02</v>
      </c>
    </row>
    <row r="17" spans="1:11" x14ac:dyDescent="0.3">
      <c r="A17" t="str">
        <f>IF('CRITERIO 1'!B16="","",'CRITERIO 1'!B17-'CRITERIO 1'!B16)</f>
        <v/>
      </c>
      <c r="B17">
        <f>+IF(A17&lt;=0,0,1)</f>
        <v>1</v>
      </c>
      <c r="C17" t="str">
        <f>IF('CRITERIO 1'!B16="","",IF(B17=1,'CRITERIO 1'!B17-'CRITERIO 1'!B16,0))</f>
        <v/>
      </c>
      <c r="D17" t="str">
        <f>IF('CRITERIO 1'!B16="","",IF(C17&lt;&gt;0,'CRITERIO 1'!B16/2,0))</f>
        <v/>
      </c>
      <c r="E17" t="str">
        <f>+IF(D17&gt;C17,C17,D17)</f>
        <v/>
      </c>
      <c r="G17">
        <f>IF('Ejemplo C1'!B16="","",'Ejemplo C1'!B17-'Ejemplo C1'!B16)</f>
        <v>1.5342465753424648</v>
      </c>
      <c r="H17">
        <f>+IF(G17&lt;=0,0,1)</f>
        <v>1</v>
      </c>
      <c r="I17">
        <f>IF('Ejemplo C1'!B16="","",IF(H17=1,'Ejemplo C1'!B17-'Ejemplo C1'!B16,0))</f>
        <v>1.5342465753424648</v>
      </c>
      <c r="J17">
        <f>IF('Ejemplo C1'!B16="","",IF(I17&lt;&gt;0,'Ejemplo C1'!B16/2,0))</f>
        <v>11.232876712328768</v>
      </c>
      <c r="K17">
        <f>+IF(J17&gt;I17,I17,J17)</f>
        <v>1.5342465753424648</v>
      </c>
    </row>
    <row r="18" spans="1:11" x14ac:dyDescent="0.3">
      <c r="A18" t="str">
        <f>IF('CRITERIO 1'!B16&lt;&gt;"",'CRITERIO 1'!B16/2,"")</f>
        <v/>
      </c>
      <c r="C18" t="str">
        <f>+IF(A18&gt;=A17,A17,A18)</f>
        <v/>
      </c>
      <c r="G18">
        <f>+'Ejemplo C1'!B16/2</f>
        <v>11.232876712328768</v>
      </c>
      <c r="I18">
        <f>+IF(G18&gt;=G17,G17,G18)</f>
        <v>1.5342465753424648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CRITERIO 1</vt:lpstr>
      <vt:lpstr>Ejemplo C1</vt:lpstr>
      <vt:lpstr>CRITERIO 2</vt:lpstr>
      <vt:lpstr>Ejemplo C2</vt:lpstr>
      <vt:lpstr>No tocar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Beamuz</dc:creator>
  <cp:lastModifiedBy>Javier Beamuz</cp:lastModifiedBy>
  <dcterms:created xsi:type="dcterms:W3CDTF">2026-05-15T10:09:04Z</dcterms:created>
  <dcterms:modified xsi:type="dcterms:W3CDTF">2026-06-10T13:24:36Z</dcterms:modified>
</cp:coreProperties>
</file>